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6/Projection (PTRR)/As Filed/"/>
    </mc:Choice>
  </mc:AlternateContent>
  <xr:revisionPtr revIDLastSave="194" documentId="8_{E4B6D74E-A073-442B-8D81-2CC3DED50472}" xr6:coauthVersionLast="47" xr6:coauthVersionMax="47" xr10:uidLastSave="{F8849AF7-7189-46B2-9DE4-6A107209A521}"/>
  <bookViews>
    <workbookView xWindow="52680" yWindow="-120" windowWidth="24240" windowHeight="13020" tabRatio="887" xr2:uid="{00000000-000D-0000-FFFF-FFFF00000000}"/>
  </bookViews>
  <sheets>
    <sheet name="PSO.Sch.11.Rates" sheetId="17" r:id="rId1"/>
    <sheet name="PSO.WS.F.BPU.ATRR.Projected" sheetId="1" r:id="rId2"/>
    <sheet name="PSO.WS.G.BPU.ATRR.True-up" sheetId="2" r:id="rId3"/>
    <sheet name="P.001" sheetId="3" r:id="rId4"/>
    <sheet name="P.002" sheetId="4" r:id="rId5"/>
    <sheet name="P.003" sheetId="5" r:id="rId6"/>
    <sheet name="P.004" sheetId="6" r:id="rId7"/>
    <sheet name="P.005" sheetId="7" r:id="rId8"/>
    <sheet name="P.006" sheetId="8" r:id="rId9"/>
    <sheet name="P.007" sheetId="9" r:id="rId10"/>
    <sheet name="P.008" sheetId="10" r:id="rId11"/>
    <sheet name="P.009" sheetId="11" r:id="rId12"/>
    <sheet name="P.010" sheetId="22" r:id="rId13"/>
    <sheet name="P.011" sheetId="23" r:id="rId14"/>
    <sheet name="P.012" sheetId="24" r:id="rId15"/>
    <sheet name="P.013" sheetId="25" r:id="rId16"/>
    <sheet name="P.014" sheetId="27" r:id="rId17"/>
    <sheet name="P.015" sheetId="28" r:id="rId18"/>
    <sheet name="P.016" sheetId="29" r:id="rId19"/>
    <sheet name="P.017" sheetId="30" r:id="rId20"/>
    <sheet name="P.018" sheetId="31" r:id="rId21"/>
    <sheet name="P.019" sheetId="37" r:id="rId22"/>
    <sheet name="P.020" sheetId="38" r:id="rId23"/>
    <sheet name="P.021" sheetId="39" r:id="rId24"/>
    <sheet name="P.022" sheetId="40" r:id="rId25"/>
    <sheet name="P.023" sheetId="41" r:id="rId26"/>
    <sheet name="P.024" sheetId="42" r:id="rId27"/>
    <sheet name="P.025" sheetId="43" r:id="rId28"/>
    <sheet name="P.026" sheetId="44" r:id="rId29"/>
    <sheet name="P.027" sheetId="45" r:id="rId30"/>
    <sheet name="P.028" sheetId="46" r:id="rId31"/>
    <sheet name="P.029" sheetId="47" r:id="rId32"/>
    <sheet name="P.030" sheetId="48" r:id="rId33"/>
    <sheet name="P.031" sheetId="49" r:id="rId34"/>
    <sheet name="P.032" sheetId="54" r:id="rId35"/>
    <sheet name="P.033" sheetId="55" r:id="rId36"/>
    <sheet name="P.034" sheetId="13" r:id="rId37"/>
    <sheet name="P.035" sheetId="57" r:id="rId38"/>
    <sheet name="P.036" sheetId="58" r:id="rId39"/>
    <sheet name="P.037" sheetId="59" r:id="rId40"/>
    <sheet name="P.xyz - blank " sheetId="56" state="hidden" r:id="rId4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P.001!$A$1:$P$162</definedName>
    <definedName name="_xlnm.Print_Area" localSheetId="4">P.002!$A$1:$P$162</definedName>
    <definedName name="_xlnm.Print_Area" localSheetId="5">P.003!$A$1:$P$162</definedName>
    <definedName name="_xlnm.Print_Area" localSheetId="6">P.004!$A$1:$P$162</definedName>
    <definedName name="_xlnm.Print_Area" localSheetId="7">P.005!$A$1:$P$162</definedName>
    <definedName name="_xlnm.Print_Area" localSheetId="8">P.006!$A$1:$P$162</definedName>
    <definedName name="_xlnm.Print_Area" localSheetId="9">P.007!$A$1:$P$162</definedName>
    <definedName name="_xlnm.Print_Area" localSheetId="10">P.008!$A$1:$P$162</definedName>
    <definedName name="_xlnm.Print_Area" localSheetId="11">P.009!$A$1:$P$162</definedName>
    <definedName name="_xlnm.Print_Area" localSheetId="12">P.010!$A$1:$P$162</definedName>
    <definedName name="_xlnm.Print_Area" localSheetId="13">P.011!$A$1:$P$162</definedName>
    <definedName name="_xlnm.Print_Area" localSheetId="14">P.012!$A$1:$P$162</definedName>
    <definedName name="_xlnm.Print_Area" localSheetId="15">P.013!$A$1:$P$162</definedName>
    <definedName name="_xlnm.Print_Area" localSheetId="16">P.014!$A$1:$P$162</definedName>
    <definedName name="_xlnm.Print_Area" localSheetId="17">P.015!$A$1:$P$162</definedName>
    <definedName name="_xlnm.Print_Area" localSheetId="18">P.016!$A$1:$P$162</definedName>
    <definedName name="_xlnm.Print_Area" localSheetId="19">P.017!$A$1:$P$162</definedName>
    <definedName name="_xlnm.Print_Area" localSheetId="20">P.018!$A$1:$P$162</definedName>
    <definedName name="_xlnm.Print_Area" localSheetId="21">P.019!$A$1:$P$162</definedName>
    <definedName name="_xlnm.Print_Area" localSheetId="22">P.020!$A$1:$P$162</definedName>
    <definedName name="_xlnm.Print_Area" localSheetId="23">P.021!$A$1:$P$162</definedName>
    <definedName name="_xlnm.Print_Area" localSheetId="24">P.022!$A$1:$P$162</definedName>
    <definedName name="_xlnm.Print_Area" localSheetId="25">P.023!$A$1:$P$162</definedName>
    <definedName name="_xlnm.Print_Area" localSheetId="26">P.024!$A$1:$P$162</definedName>
    <definedName name="_xlnm.Print_Area" localSheetId="27">P.025!$A$1:$P$162</definedName>
    <definedName name="_xlnm.Print_Area" localSheetId="28">P.026!$A$1:$P$162</definedName>
    <definedName name="_xlnm.Print_Area" localSheetId="29">P.027!$A$1:$P$162</definedName>
    <definedName name="_xlnm.Print_Area" localSheetId="30">P.028!$A$1:$P$162</definedName>
    <definedName name="_xlnm.Print_Area" localSheetId="31">P.029!$A$1:$P$162</definedName>
    <definedName name="_xlnm.Print_Area" localSheetId="32">P.030!$A$1:$P$162</definedName>
    <definedName name="_xlnm.Print_Area" localSheetId="33">P.031!$A$1:$P$162</definedName>
    <definedName name="_xlnm.Print_Area" localSheetId="34">P.032!$A$1:$P$162</definedName>
    <definedName name="_xlnm.Print_Area" localSheetId="35">P.033!$A$1:$P$162</definedName>
    <definedName name="_xlnm.Print_Area" localSheetId="36">P.034!$A$1:$P$162</definedName>
    <definedName name="_xlnm.Print_Area" localSheetId="37">P.035!$A$1:$P$162</definedName>
    <definedName name="_xlnm.Print_Area" localSheetId="38">P.036!$A$1:$P$162</definedName>
    <definedName name="_xlnm.Print_Area" localSheetId="39">P.037!$A$1:$P$162</definedName>
    <definedName name="_xlnm.Print_Area" localSheetId="40">'P.xyz - blank '!$A$1:$P$165</definedName>
    <definedName name="_xlnm.Print_Area" localSheetId="0">'PSO.Sch.11.Rates'!$A$1:$T$57</definedName>
    <definedName name="_xlnm.Print_Area" localSheetId="1">'PSO.WS.F.BPU.ATRR.Projected'!$A$1:$O$96</definedName>
    <definedName name="_xlnm.Print_Area" localSheetId="2">'PSO.WS.G.BPU.ATRR.True-up'!$A$1:$P$94</definedName>
    <definedName name="_xlnm.Print_Titles" localSheetId="5">P.003!#REF!</definedName>
    <definedName name="_xlnm.Print_Titles" localSheetId="6">P.004!#REF!</definedName>
    <definedName name="_xlnm.Print_Titles" localSheetId="7">P.005!#REF!</definedName>
    <definedName name="_xlnm.Print_Titles" localSheetId="8">P.006!#REF!</definedName>
    <definedName name="_xlnm.Print_Titles" localSheetId="9">P.007!#REF!</definedName>
    <definedName name="_xlnm.Print_Titles" localSheetId="10">P.008!#REF!</definedName>
    <definedName name="_xlnm.Print_Titles" localSheetId="11">P.009!#REF!</definedName>
    <definedName name="_xlnm.Print_Titles" localSheetId="12">P.010!#REF!</definedName>
    <definedName name="_xlnm.Print_Titles" localSheetId="13">P.011!#REF!</definedName>
    <definedName name="_xlnm.Print_Titles" localSheetId="14">P.012!#REF!</definedName>
    <definedName name="_xlnm.Print_Titles" localSheetId="15">P.013!#REF!</definedName>
    <definedName name="_xlnm.Print_Titles" localSheetId="16">P.014!#REF!</definedName>
    <definedName name="_xlnm.Print_Titles" localSheetId="17">P.015!#REF!</definedName>
    <definedName name="_xlnm.Print_Titles" localSheetId="18">P.016!#REF!</definedName>
    <definedName name="_xlnm.Print_Titles" localSheetId="19">P.017!#REF!</definedName>
    <definedName name="_xlnm.Print_Titles" localSheetId="20">P.018!#REF!</definedName>
    <definedName name="_xlnm.Print_Titles" localSheetId="21">P.019!#REF!</definedName>
    <definedName name="_xlnm.Print_Titles" localSheetId="22">P.020!#REF!</definedName>
    <definedName name="_xlnm.Print_Titles" localSheetId="23">P.021!#REF!</definedName>
    <definedName name="_xlnm.Print_Titles" localSheetId="24">P.022!#REF!</definedName>
    <definedName name="_xlnm.Print_Titles" localSheetId="34">P.032!#REF!</definedName>
    <definedName name="_xlnm.Print_Titles" localSheetId="35">P.033!#REF!</definedName>
    <definedName name="_xlnm.Print_Titles" localSheetId="36">P.034!#REF!</definedName>
    <definedName name="_xlnm.Print_Titles" localSheetId="37">P.035!#REF!</definedName>
    <definedName name="_xlnm.Print_Titles" localSheetId="38">P.036!#REF!</definedName>
    <definedName name="_xlnm.Print_Titles" localSheetId="39">P.037!#REF!</definedName>
    <definedName name="_xlnm.Print_Titles" localSheetId="40">'P.xyz - blank '!#REF!</definedName>
    <definedName name="_xlnm.Print_Titles" localSheetId="1">'PSO.WS.F.BPU.ATRR.Projected'!$1:$6</definedName>
    <definedName name="_xlnm.Print_Titles" localSheetId="2">'PSO.WS.G.BPU.ATRR.True-up'!$1:$5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1" i="17" l="1"/>
  <c r="O107" i="57"/>
  <c r="M107" i="57"/>
  <c r="O106" i="57"/>
  <c r="P106" i="57" s="1"/>
  <c r="M106" i="57"/>
  <c r="O105" i="57"/>
  <c r="P105" i="57" s="1"/>
  <c r="M105" i="57"/>
  <c r="O104" i="57"/>
  <c r="M104" i="57"/>
  <c r="O103" i="57"/>
  <c r="M103" i="57"/>
  <c r="O102" i="57"/>
  <c r="M102" i="57"/>
  <c r="O101" i="57"/>
  <c r="M101" i="57"/>
  <c r="O100" i="57"/>
  <c r="M100" i="57"/>
  <c r="D100" i="57"/>
  <c r="P104" i="57" l="1"/>
  <c r="P103" i="57"/>
  <c r="P101" i="57"/>
  <c r="P102" i="57"/>
  <c r="P100" i="57"/>
  <c r="P107" i="57"/>
  <c r="O88" i="55" l="1"/>
  <c r="D100" i="54"/>
  <c r="N101" i="49"/>
  <c r="O101" i="49" s="1"/>
  <c r="L101" i="49"/>
  <c r="M101" i="49" s="1"/>
  <c r="N102" i="48"/>
  <c r="O102" i="48" s="1"/>
  <c r="L102" i="48"/>
  <c r="M102" i="48" s="1"/>
  <c r="N101" i="48"/>
  <c r="O101" i="48" s="1"/>
  <c r="L101" i="48"/>
  <c r="M101" i="48" s="1"/>
  <c r="D102" i="47"/>
  <c r="N103" i="46"/>
  <c r="O103" i="46" s="1"/>
  <c r="P103" i="46" s="1"/>
  <c r="L103" i="46"/>
  <c r="M103" i="46" s="1"/>
  <c r="N104" i="45"/>
  <c r="O104" i="45" s="1"/>
  <c r="L104" i="45"/>
  <c r="M104" i="45" s="1"/>
  <c r="N104" i="44"/>
  <c r="O104" i="44" s="1"/>
  <c r="M104" i="44"/>
  <c r="L104" i="44"/>
  <c r="N105" i="43"/>
  <c r="O105" i="43" s="1"/>
  <c r="P105" i="43" s="1"/>
  <c r="L105" i="43"/>
  <c r="M105" i="43" s="1"/>
  <c r="N105" i="42"/>
  <c r="O105" i="42" s="1"/>
  <c r="L105" i="42"/>
  <c r="M105" i="42" s="1"/>
  <c r="N105" i="41"/>
  <c r="O105" i="41" s="1"/>
  <c r="L105" i="41"/>
  <c r="M105" i="41" s="1"/>
  <c r="N105" i="40"/>
  <c r="O105" i="40" s="1"/>
  <c r="L105" i="40"/>
  <c r="M105" i="40" s="1"/>
  <c r="N106" i="39"/>
  <c r="O106" i="39" s="1"/>
  <c r="L106" i="39"/>
  <c r="M106" i="39" s="1"/>
  <c r="N105" i="38"/>
  <c r="O105" i="38" s="1"/>
  <c r="L105" i="38"/>
  <c r="M105" i="38" s="1"/>
  <c r="N106" i="37"/>
  <c r="O106" i="37" s="1"/>
  <c r="M106" i="37"/>
  <c r="L106" i="37"/>
  <c r="O109" i="31"/>
  <c r="N109" i="31"/>
  <c r="L109" i="31"/>
  <c r="M109" i="31" s="1"/>
  <c r="N108" i="30"/>
  <c r="O108" i="30" s="1"/>
  <c r="L108" i="30"/>
  <c r="M108" i="30" s="1"/>
  <c r="N109" i="29"/>
  <c r="O109" i="29" s="1"/>
  <c r="L109" i="29"/>
  <c r="M109" i="29" s="1"/>
  <c r="N109" i="28"/>
  <c r="O109" i="28" s="1"/>
  <c r="L109" i="28"/>
  <c r="M109" i="28" s="1"/>
  <c r="N110" i="27"/>
  <c r="O110" i="27" s="1"/>
  <c r="L110" i="27"/>
  <c r="M110" i="27" s="1"/>
  <c r="N113" i="25"/>
  <c r="O113" i="25" s="1"/>
  <c r="L113" i="25"/>
  <c r="M113" i="25" s="1"/>
  <c r="N111" i="24"/>
  <c r="O111" i="24" s="1"/>
  <c r="P111" i="24" s="1"/>
  <c r="L111" i="24"/>
  <c r="M111" i="24" s="1"/>
  <c r="N112" i="23"/>
  <c r="O112" i="23" s="1"/>
  <c r="P112" i="23" s="1"/>
  <c r="L112" i="23"/>
  <c r="M112" i="23" s="1"/>
  <c r="N113" i="22"/>
  <c r="O113" i="22" s="1"/>
  <c r="L113" i="22"/>
  <c r="M113" i="22" s="1"/>
  <c r="N116" i="11"/>
  <c r="O116" i="11" s="1"/>
  <c r="L116" i="11"/>
  <c r="M116" i="11" s="1"/>
  <c r="N117" i="10"/>
  <c r="O117" i="10" s="1"/>
  <c r="L117" i="10"/>
  <c r="M117" i="10" s="1"/>
  <c r="N116" i="9"/>
  <c r="O116" i="9" s="1"/>
  <c r="L116" i="9"/>
  <c r="M116" i="9" s="1"/>
  <c r="M115" i="8"/>
  <c r="O115" i="8"/>
  <c r="O117" i="7"/>
  <c r="N117" i="7"/>
  <c r="L117" i="7"/>
  <c r="M117" i="7" s="1"/>
  <c r="N115" i="6"/>
  <c r="O115" i="6" s="1"/>
  <c r="P115" i="6" s="1"/>
  <c r="L115" i="6"/>
  <c r="M115" i="6" s="1"/>
  <c r="N114" i="5"/>
  <c r="O114" i="5" s="1"/>
  <c r="L114" i="5"/>
  <c r="M114" i="5" s="1"/>
  <c r="N114" i="4"/>
  <c r="O114" i="4" s="1"/>
  <c r="P114" i="4" s="1"/>
  <c r="L114" i="4"/>
  <c r="M114" i="4" s="1"/>
  <c r="N114" i="3"/>
  <c r="O114" i="3" s="1"/>
  <c r="L114" i="3"/>
  <c r="M114" i="3" s="1"/>
  <c r="P115" i="8" l="1"/>
  <c r="P113" i="25"/>
  <c r="P109" i="29"/>
  <c r="P106" i="37"/>
  <c r="P105" i="41"/>
  <c r="P113" i="22"/>
  <c r="P108" i="30"/>
  <c r="P105" i="38"/>
  <c r="P102" i="48"/>
  <c r="P116" i="9"/>
  <c r="P110" i="27"/>
  <c r="P105" i="40"/>
  <c r="P101" i="49"/>
  <c r="P101" i="48"/>
  <c r="P104" i="45"/>
  <c r="P104" i="44"/>
  <c r="P105" i="42"/>
  <c r="P106" i="39"/>
  <c r="P109" i="31"/>
  <c r="P109" i="28"/>
  <c r="P116" i="11"/>
  <c r="P117" i="10"/>
  <c r="P117" i="7"/>
  <c r="P114" i="5"/>
  <c r="P114" i="3"/>
  <c r="L54" i="17" l="1"/>
  <c r="V54" i="17" s="1"/>
  <c r="L53" i="17"/>
  <c r="V53" i="17" s="1"/>
  <c r="X54" i="17"/>
  <c r="X53" i="17"/>
  <c r="X52" i="17"/>
  <c r="X51" i="17"/>
  <c r="P1" i="3"/>
  <c r="P1" i="4"/>
  <c r="P1" i="5"/>
  <c r="P1" i="6"/>
  <c r="P1" i="7"/>
  <c r="P1" i="8"/>
  <c r="P1" i="9"/>
  <c r="P1" i="10"/>
  <c r="P1" i="11"/>
  <c r="P1" i="22"/>
  <c r="P1" i="23"/>
  <c r="P1" i="24"/>
  <c r="P1" i="25"/>
  <c r="P1" i="27"/>
  <c r="P1" i="28"/>
  <c r="P1" i="29"/>
  <c r="P1" i="30"/>
  <c r="P1" i="31"/>
  <c r="P1" i="37"/>
  <c r="P1" i="38"/>
  <c r="P1" i="39"/>
  <c r="P1" i="40"/>
  <c r="P1" i="41"/>
  <c r="P1" i="42"/>
  <c r="P1" i="43"/>
  <c r="P1" i="44"/>
  <c r="P1" i="45"/>
  <c r="P1" i="46"/>
  <c r="P1" i="47"/>
  <c r="P1" i="48"/>
  <c r="P1" i="49" l="1"/>
  <c r="P1" i="54"/>
  <c r="P1" i="55"/>
  <c r="P1" i="13"/>
  <c r="P1" i="59"/>
  <c r="P83" i="59" s="1"/>
  <c r="P1" i="58"/>
  <c r="P83" i="58" s="1"/>
  <c r="P1" i="57"/>
  <c r="P154" i="59"/>
  <c r="O154" i="59"/>
  <c r="M154" i="59"/>
  <c r="J154" i="59"/>
  <c r="P153" i="59"/>
  <c r="O153" i="59"/>
  <c r="M153" i="59"/>
  <c r="J153" i="59"/>
  <c r="P152" i="59"/>
  <c r="O152" i="59"/>
  <c r="M152" i="59"/>
  <c r="J152" i="59"/>
  <c r="P151" i="59"/>
  <c r="O151" i="59"/>
  <c r="M151" i="59"/>
  <c r="J151" i="59"/>
  <c r="P150" i="59"/>
  <c r="O150" i="59"/>
  <c r="M150" i="59"/>
  <c r="J150" i="59"/>
  <c r="P149" i="59"/>
  <c r="O149" i="59"/>
  <c r="M149" i="59"/>
  <c r="J149" i="59"/>
  <c r="P148" i="59"/>
  <c r="O148" i="59"/>
  <c r="M148" i="59"/>
  <c r="J148" i="59"/>
  <c r="P147" i="59"/>
  <c r="O147" i="59"/>
  <c r="M147" i="59"/>
  <c r="J147" i="59"/>
  <c r="P146" i="59"/>
  <c r="O146" i="59"/>
  <c r="M146" i="59"/>
  <c r="J146" i="59"/>
  <c r="P145" i="59"/>
  <c r="O145" i="59"/>
  <c r="M145" i="59"/>
  <c r="J145" i="59"/>
  <c r="P144" i="59"/>
  <c r="O144" i="59"/>
  <c r="M144" i="59"/>
  <c r="J144" i="59"/>
  <c r="P143" i="59"/>
  <c r="O143" i="59"/>
  <c r="M143" i="59"/>
  <c r="J143" i="59"/>
  <c r="P142" i="59"/>
  <c r="O142" i="59"/>
  <c r="M142" i="59"/>
  <c r="J142" i="59"/>
  <c r="P141" i="59"/>
  <c r="O141" i="59"/>
  <c r="M141" i="59"/>
  <c r="J141" i="59"/>
  <c r="P140" i="59"/>
  <c r="O140" i="59"/>
  <c r="M140" i="59"/>
  <c r="J140" i="59"/>
  <c r="P139" i="59"/>
  <c r="O139" i="59"/>
  <c r="M139" i="59"/>
  <c r="J139" i="59"/>
  <c r="P138" i="59"/>
  <c r="O138" i="59"/>
  <c r="M138" i="59"/>
  <c r="J138" i="59"/>
  <c r="P137" i="59"/>
  <c r="O137" i="59"/>
  <c r="M137" i="59"/>
  <c r="J137" i="59"/>
  <c r="P136" i="59"/>
  <c r="O136" i="59"/>
  <c r="M136" i="59"/>
  <c r="J136" i="59"/>
  <c r="P135" i="59"/>
  <c r="O135" i="59"/>
  <c r="M135" i="59"/>
  <c r="J135" i="59"/>
  <c r="P134" i="59"/>
  <c r="O134" i="59"/>
  <c r="M134" i="59"/>
  <c r="J134" i="59"/>
  <c r="P133" i="59"/>
  <c r="O133" i="59"/>
  <c r="M133" i="59"/>
  <c r="J133" i="59"/>
  <c r="P132" i="59"/>
  <c r="O132" i="59"/>
  <c r="M132" i="59"/>
  <c r="J132" i="59"/>
  <c r="P131" i="59"/>
  <c r="O131" i="59"/>
  <c r="M131" i="59"/>
  <c r="J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M106" i="59"/>
  <c r="O105" i="59"/>
  <c r="M105" i="59"/>
  <c r="O104" i="59"/>
  <c r="M104" i="59"/>
  <c r="O103" i="59"/>
  <c r="M103" i="59"/>
  <c r="O102" i="59"/>
  <c r="M102" i="59"/>
  <c r="O101" i="59"/>
  <c r="M101" i="59"/>
  <c r="O100" i="59"/>
  <c r="M100" i="59"/>
  <c r="C100" i="59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O99" i="59"/>
  <c r="M99" i="59"/>
  <c r="C99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L26" i="59"/>
  <c r="N25" i="59"/>
  <c r="L25" i="59"/>
  <c r="N24" i="59"/>
  <c r="L24" i="59"/>
  <c r="N23" i="59"/>
  <c r="L23" i="59"/>
  <c r="N22" i="59"/>
  <c r="L22" i="59"/>
  <c r="N21" i="59"/>
  <c r="L21" i="59"/>
  <c r="N20" i="59"/>
  <c r="L20" i="59"/>
  <c r="N19" i="59"/>
  <c r="L19" i="59"/>
  <c r="N18" i="59"/>
  <c r="L18" i="59"/>
  <c r="N17" i="59"/>
  <c r="L17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K11" i="59"/>
  <c r="I11" i="59"/>
  <c r="D90" i="59"/>
  <c r="P154" i="58"/>
  <c r="O154" i="58"/>
  <c r="M154" i="58"/>
  <c r="J154" i="58"/>
  <c r="P153" i="58"/>
  <c r="O153" i="58"/>
  <c r="M153" i="58"/>
  <c r="J153" i="58"/>
  <c r="P152" i="58"/>
  <c r="O152" i="58"/>
  <c r="M152" i="58"/>
  <c r="J152" i="58"/>
  <c r="P151" i="58"/>
  <c r="O151" i="58"/>
  <c r="M151" i="58"/>
  <c r="J151" i="58"/>
  <c r="P150" i="58"/>
  <c r="O150" i="58"/>
  <c r="M150" i="58"/>
  <c r="J150" i="58"/>
  <c r="P149" i="58"/>
  <c r="O149" i="58"/>
  <c r="M149" i="58"/>
  <c r="J149" i="58"/>
  <c r="P148" i="58"/>
  <c r="O148" i="58"/>
  <c r="M148" i="58"/>
  <c r="J148" i="58"/>
  <c r="P147" i="58"/>
  <c r="O147" i="58"/>
  <c r="M147" i="58"/>
  <c r="J147" i="58"/>
  <c r="P146" i="58"/>
  <c r="O146" i="58"/>
  <c r="M146" i="58"/>
  <c r="J146" i="58"/>
  <c r="P145" i="58"/>
  <c r="O145" i="58"/>
  <c r="M145" i="58"/>
  <c r="J145" i="58"/>
  <c r="P144" i="58"/>
  <c r="O144" i="58"/>
  <c r="M144" i="58"/>
  <c r="J144" i="58"/>
  <c r="P143" i="58"/>
  <c r="O143" i="58"/>
  <c r="M143" i="58"/>
  <c r="J143" i="58"/>
  <c r="P142" i="58"/>
  <c r="O142" i="58"/>
  <c r="M142" i="58"/>
  <c r="J142" i="58"/>
  <c r="P141" i="58"/>
  <c r="O141" i="58"/>
  <c r="M141" i="58"/>
  <c r="J141" i="58"/>
  <c r="P140" i="58"/>
  <c r="O140" i="58"/>
  <c r="M140" i="58"/>
  <c r="J140" i="58"/>
  <c r="P139" i="58"/>
  <c r="O139" i="58"/>
  <c r="M139" i="58"/>
  <c r="J139" i="58"/>
  <c r="P138" i="58"/>
  <c r="O138" i="58"/>
  <c r="M138" i="58"/>
  <c r="J138" i="58"/>
  <c r="P137" i="58"/>
  <c r="O137" i="58"/>
  <c r="M137" i="58"/>
  <c r="J137" i="58"/>
  <c r="P136" i="58"/>
  <c r="O136" i="58"/>
  <c r="M136" i="58"/>
  <c r="J136" i="58"/>
  <c r="P135" i="58"/>
  <c r="O135" i="58"/>
  <c r="M135" i="58"/>
  <c r="J135" i="58"/>
  <c r="P134" i="58"/>
  <c r="O134" i="58"/>
  <c r="M134" i="58"/>
  <c r="J134" i="58"/>
  <c r="P133" i="58"/>
  <c r="O133" i="58"/>
  <c r="M133" i="58"/>
  <c r="J133" i="58"/>
  <c r="P132" i="58"/>
  <c r="O132" i="58"/>
  <c r="M132" i="58"/>
  <c r="J132" i="58"/>
  <c r="P131" i="58"/>
  <c r="O131" i="58"/>
  <c r="M131" i="58"/>
  <c r="J131" i="58"/>
  <c r="O130" i="58"/>
  <c r="M130" i="58"/>
  <c r="O129" i="58"/>
  <c r="M129" i="58"/>
  <c r="O128" i="58"/>
  <c r="M128" i="58"/>
  <c r="O127" i="58"/>
  <c r="M127" i="58"/>
  <c r="O126" i="58"/>
  <c r="M126" i="58"/>
  <c r="O125" i="58"/>
  <c r="M125" i="58"/>
  <c r="O124" i="58"/>
  <c r="M124" i="58"/>
  <c r="O123" i="58"/>
  <c r="M123" i="58"/>
  <c r="O122" i="58"/>
  <c r="M122" i="58"/>
  <c r="O121" i="58"/>
  <c r="M121" i="58"/>
  <c r="O120" i="58"/>
  <c r="M120" i="58"/>
  <c r="O119" i="58"/>
  <c r="M119" i="58"/>
  <c r="O118" i="58"/>
  <c r="M118" i="58"/>
  <c r="O117" i="58"/>
  <c r="M117" i="58"/>
  <c r="O116" i="58"/>
  <c r="M116" i="58"/>
  <c r="O115" i="58"/>
  <c r="M115" i="58"/>
  <c r="O114" i="58"/>
  <c r="M114" i="58"/>
  <c r="O113" i="58"/>
  <c r="M113" i="58"/>
  <c r="O112" i="58"/>
  <c r="M112" i="58"/>
  <c r="O111" i="58"/>
  <c r="M111" i="58"/>
  <c r="O110" i="58"/>
  <c r="M110" i="58"/>
  <c r="O109" i="58"/>
  <c r="M109" i="58"/>
  <c r="O108" i="58"/>
  <c r="M108" i="58"/>
  <c r="O107" i="58"/>
  <c r="M107" i="58"/>
  <c r="O106" i="58"/>
  <c r="M106" i="58"/>
  <c r="O105" i="58"/>
  <c r="M105" i="58"/>
  <c r="O104" i="58"/>
  <c r="M104" i="58"/>
  <c r="O103" i="58"/>
  <c r="M103" i="58"/>
  <c r="O102" i="58"/>
  <c r="M102" i="58"/>
  <c r="O101" i="58"/>
  <c r="M101" i="58"/>
  <c r="O100" i="58"/>
  <c r="M100" i="58"/>
  <c r="C100" i="58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O99" i="58"/>
  <c r="M99" i="58"/>
  <c r="C99" i="58"/>
  <c r="D96" i="58"/>
  <c r="L93" i="58"/>
  <c r="J93" i="58"/>
  <c r="D91" i="58"/>
  <c r="D89" i="58"/>
  <c r="N72" i="58"/>
  <c r="L72" i="58"/>
  <c r="N71" i="58"/>
  <c r="L71" i="58"/>
  <c r="N70" i="58"/>
  <c r="L70" i="58"/>
  <c r="N69" i="58"/>
  <c r="L69" i="58"/>
  <c r="N68" i="58"/>
  <c r="L68" i="58"/>
  <c r="N67" i="58"/>
  <c r="L67" i="58"/>
  <c r="N66" i="58"/>
  <c r="L66" i="58"/>
  <c r="N65" i="58"/>
  <c r="L65" i="58"/>
  <c r="N64" i="58"/>
  <c r="L64" i="58"/>
  <c r="N63" i="58"/>
  <c r="L63" i="58"/>
  <c r="N62" i="58"/>
  <c r="L62" i="58"/>
  <c r="N61" i="58"/>
  <c r="L61" i="58"/>
  <c r="N60" i="58"/>
  <c r="L60" i="58"/>
  <c r="N59" i="58"/>
  <c r="L59" i="58"/>
  <c r="N58" i="58"/>
  <c r="L58" i="58"/>
  <c r="N57" i="58"/>
  <c r="L57" i="58"/>
  <c r="N56" i="58"/>
  <c r="L56" i="58"/>
  <c r="N55" i="58"/>
  <c r="L55" i="58"/>
  <c r="N54" i="58"/>
  <c r="L54" i="58"/>
  <c r="N53" i="58"/>
  <c r="L53" i="58"/>
  <c r="N52" i="58"/>
  <c r="L52" i="58"/>
  <c r="N51" i="58"/>
  <c r="L51" i="58"/>
  <c r="N50" i="58"/>
  <c r="L50" i="58"/>
  <c r="N49" i="58"/>
  <c r="L49" i="58"/>
  <c r="N48" i="58"/>
  <c r="L48" i="58"/>
  <c r="N47" i="58"/>
  <c r="L47" i="58"/>
  <c r="N46" i="58"/>
  <c r="L46" i="58"/>
  <c r="N45" i="58"/>
  <c r="L45" i="58"/>
  <c r="N44" i="58"/>
  <c r="L44" i="58"/>
  <c r="N43" i="58"/>
  <c r="L43" i="58"/>
  <c r="N42" i="58"/>
  <c r="L42" i="58"/>
  <c r="N41" i="58"/>
  <c r="L41" i="58"/>
  <c r="N40" i="58"/>
  <c r="L40" i="58"/>
  <c r="N39" i="58"/>
  <c r="L39" i="58"/>
  <c r="N38" i="58"/>
  <c r="L38" i="58"/>
  <c r="N37" i="58"/>
  <c r="L37" i="58"/>
  <c r="N36" i="58"/>
  <c r="L36" i="58"/>
  <c r="N35" i="58"/>
  <c r="L35" i="58"/>
  <c r="N34" i="58"/>
  <c r="L34" i="58"/>
  <c r="N33" i="58"/>
  <c r="L33" i="58"/>
  <c r="N32" i="58"/>
  <c r="L32" i="58"/>
  <c r="N31" i="58"/>
  <c r="L31" i="58"/>
  <c r="N30" i="58"/>
  <c r="L30" i="58"/>
  <c r="N29" i="58"/>
  <c r="L29" i="58"/>
  <c r="N28" i="58"/>
  <c r="L28" i="58"/>
  <c r="N27" i="58"/>
  <c r="L27" i="58"/>
  <c r="N26" i="58"/>
  <c r="L26" i="58"/>
  <c r="N25" i="58"/>
  <c r="L25" i="58"/>
  <c r="N24" i="58"/>
  <c r="L24" i="58"/>
  <c r="N23" i="58"/>
  <c r="L23" i="58"/>
  <c r="N22" i="58"/>
  <c r="L22" i="58"/>
  <c r="N21" i="58"/>
  <c r="L21" i="58"/>
  <c r="N20" i="58"/>
  <c r="L20" i="58"/>
  <c r="N19" i="58"/>
  <c r="L19" i="58"/>
  <c r="N18" i="58"/>
  <c r="L18" i="58"/>
  <c r="N17" i="58"/>
  <c r="L17" i="58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K11" i="58"/>
  <c r="I11" i="58"/>
  <c r="D90" i="58"/>
  <c r="P103" i="59" l="1"/>
  <c r="O20" i="58"/>
  <c r="O28" i="58"/>
  <c r="O40" i="58"/>
  <c r="O60" i="58"/>
  <c r="O69" i="59"/>
  <c r="O35" i="59"/>
  <c r="O63" i="59"/>
  <c r="O67" i="59"/>
  <c r="O43" i="59"/>
  <c r="O27" i="59"/>
  <c r="O51" i="59"/>
  <c r="O20" i="59"/>
  <c r="O60" i="59"/>
  <c r="O23" i="58"/>
  <c r="O37" i="59"/>
  <c r="O45" i="59"/>
  <c r="O17" i="58"/>
  <c r="O25" i="58"/>
  <c r="O65" i="58"/>
  <c r="O69" i="58"/>
  <c r="O70" i="59"/>
  <c r="O18" i="58"/>
  <c r="O22" i="58"/>
  <c r="O62" i="58"/>
  <c r="O51" i="58"/>
  <c r="O53" i="59"/>
  <c r="O63" i="58"/>
  <c r="O67" i="58"/>
  <c r="O22" i="59"/>
  <c r="O24" i="59"/>
  <c r="O68" i="59"/>
  <c r="O40" i="59"/>
  <c r="O21" i="59"/>
  <c r="P109" i="59"/>
  <c r="P113" i="59"/>
  <c r="P117" i="59"/>
  <c r="P121" i="59"/>
  <c r="P125" i="59"/>
  <c r="P129" i="59"/>
  <c r="O48" i="59"/>
  <c r="O64" i="59"/>
  <c r="O66" i="59"/>
  <c r="O32" i="59"/>
  <c r="O56" i="59"/>
  <c r="O71" i="59"/>
  <c r="O49" i="59"/>
  <c r="O61" i="59"/>
  <c r="O19" i="59"/>
  <c r="O38" i="59"/>
  <c r="O42" i="59"/>
  <c r="O50" i="59"/>
  <c r="O65" i="59"/>
  <c r="O59" i="59"/>
  <c r="P102" i="59"/>
  <c r="O44" i="59"/>
  <c r="O17" i="59"/>
  <c r="O30" i="59"/>
  <c r="O31" i="59"/>
  <c r="O52" i="59"/>
  <c r="O72" i="59"/>
  <c r="P101" i="59"/>
  <c r="P105" i="59"/>
  <c r="O47" i="59"/>
  <c r="O54" i="59"/>
  <c r="P107" i="59"/>
  <c r="P111" i="59"/>
  <c r="P115" i="59"/>
  <c r="P119" i="59"/>
  <c r="P123" i="59"/>
  <c r="P127" i="59"/>
  <c r="O23" i="59"/>
  <c r="O34" i="59"/>
  <c r="O62" i="59"/>
  <c r="O28" i="59"/>
  <c r="O26" i="59"/>
  <c r="O33" i="59"/>
  <c r="O58" i="59"/>
  <c r="P100" i="59"/>
  <c r="O55" i="59"/>
  <c r="P116" i="59"/>
  <c r="O25" i="59"/>
  <c r="O29" i="59"/>
  <c r="O36" i="59"/>
  <c r="O39" i="59"/>
  <c r="O46" i="59"/>
  <c r="P99" i="59"/>
  <c r="P106" i="59"/>
  <c r="P114" i="59"/>
  <c r="P118" i="59"/>
  <c r="P122" i="59"/>
  <c r="P130" i="59"/>
  <c r="P108" i="58"/>
  <c r="P112" i="58"/>
  <c r="P116" i="58"/>
  <c r="P120" i="58"/>
  <c r="P128" i="58"/>
  <c r="O24" i="58"/>
  <c r="O48" i="58"/>
  <c r="O56" i="58"/>
  <c r="O46" i="58"/>
  <c r="O59" i="58"/>
  <c r="O47" i="58"/>
  <c r="O72" i="58"/>
  <c r="O19" i="58"/>
  <c r="O26" i="58"/>
  <c r="O30" i="58"/>
  <c r="O34" i="58"/>
  <c r="O49" i="58"/>
  <c r="O57" i="58"/>
  <c r="P105" i="58"/>
  <c r="P113" i="58"/>
  <c r="P117" i="58"/>
  <c r="P121" i="58"/>
  <c r="P125" i="58"/>
  <c r="P129" i="58"/>
  <c r="O68" i="58"/>
  <c r="O27" i="58"/>
  <c r="O31" i="58"/>
  <c r="O35" i="58"/>
  <c r="O39" i="58"/>
  <c r="O43" i="58"/>
  <c r="O50" i="58"/>
  <c r="O54" i="58"/>
  <c r="O58" i="58"/>
  <c r="O32" i="58"/>
  <c r="O55" i="58"/>
  <c r="O52" i="58"/>
  <c r="O33" i="58"/>
  <c r="O66" i="58"/>
  <c r="O44" i="58"/>
  <c r="O38" i="58"/>
  <c r="O41" i="58"/>
  <c r="O45" i="58"/>
  <c r="O70" i="58"/>
  <c r="P99" i="58"/>
  <c r="P106" i="58"/>
  <c r="P110" i="58"/>
  <c r="P118" i="58"/>
  <c r="P126" i="58"/>
  <c r="O42" i="58"/>
  <c r="O71" i="58"/>
  <c r="P103" i="58"/>
  <c r="P111" i="58"/>
  <c r="P115" i="58"/>
  <c r="P119" i="58"/>
  <c r="P123" i="58"/>
  <c r="P127" i="58"/>
  <c r="O36" i="58"/>
  <c r="P100" i="58"/>
  <c r="C127" i="59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45" i="59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O18" i="59"/>
  <c r="O57" i="59"/>
  <c r="O41" i="59"/>
  <c r="P104" i="59"/>
  <c r="P120" i="59"/>
  <c r="P108" i="59"/>
  <c r="P124" i="59"/>
  <c r="P110" i="59"/>
  <c r="P126" i="59"/>
  <c r="P112" i="59"/>
  <c r="P128" i="59"/>
  <c r="C45" i="58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O64" i="58"/>
  <c r="O61" i="58"/>
  <c r="O21" i="58"/>
  <c r="O37" i="58"/>
  <c r="O53" i="58"/>
  <c r="O29" i="58"/>
  <c r="P104" i="58"/>
  <c r="P109" i="58"/>
  <c r="P122" i="58"/>
  <c r="P102" i="58"/>
  <c r="P107" i="58"/>
  <c r="P124" i="58"/>
  <c r="P101" i="58"/>
  <c r="P114" i="58"/>
  <c r="P130" i="58"/>
  <c r="D26" i="39" l="1"/>
  <c r="N99" i="57" l="1"/>
  <c r="O99" i="57" s="1"/>
  <c r="L99" i="57"/>
  <c r="M99" i="57" s="1"/>
  <c r="N18" i="57"/>
  <c r="M18" i="57"/>
  <c r="K18" i="57"/>
  <c r="L18" i="57" s="1"/>
  <c r="M17" i="13"/>
  <c r="N17" i="13" s="1"/>
  <c r="K17" i="13"/>
  <c r="L17" i="13" s="1"/>
  <c r="N18" i="55"/>
  <c r="M18" i="55"/>
  <c r="K18" i="55"/>
  <c r="L18" i="55" s="1"/>
  <c r="O107" i="54"/>
  <c r="M107" i="54"/>
  <c r="O106" i="54"/>
  <c r="M106" i="54"/>
  <c r="O105" i="54"/>
  <c r="M105" i="54"/>
  <c r="O104" i="54"/>
  <c r="M104" i="54"/>
  <c r="O103" i="54"/>
  <c r="M103" i="54"/>
  <c r="O102" i="54"/>
  <c r="M102" i="54"/>
  <c r="O101" i="54"/>
  <c r="M101" i="54"/>
  <c r="O100" i="54"/>
  <c r="M100" i="54"/>
  <c r="N99" i="54"/>
  <c r="O99" i="54" s="1"/>
  <c r="L99" i="54"/>
  <c r="M99" i="54" s="1"/>
  <c r="M18" i="54"/>
  <c r="N18" i="54" s="1"/>
  <c r="K18" i="54"/>
  <c r="L18" i="54" s="1"/>
  <c r="N100" i="49"/>
  <c r="O100" i="49" s="1"/>
  <c r="L100" i="49"/>
  <c r="M100" i="49" s="1"/>
  <c r="M20" i="49"/>
  <c r="N20" i="49" s="1"/>
  <c r="K20" i="49"/>
  <c r="L20" i="49" s="1"/>
  <c r="M21" i="48"/>
  <c r="N21" i="48" s="1"/>
  <c r="O21" i="48" s="1"/>
  <c r="K21" i="48"/>
  <c r="L21" i="48" s="1"/>
  <c r="N101" i="47"/>
  <c r="O101" i="47" s="1"/>
  <c r="L101" i="47"/>
  <c r="M101" i="47" s="1"/>
  <c r="M20" i="47"/>
  <c r="N20" i="47" s="1"/>
  <c r="K20" i="47"/>
  <c r="L20" i="47" s="1"/>
  <c r="N102" i="46"/>
  <c r="O102" i="46" s="1"/>
  <c r="M102" i="46"/>
  <c r="L102" i="46"/>
  <c r="N101" i="46"/>
  <c r="O101" i="46" s="1"/>
  <c r="L101" i="46"/>
  <c r="M101" i="46" s="1"/>
  <c r="M22" i="46"/>
  <c r="N22" i="46" s="1"/>
  <c r="O22" i="46" s="1"/>
  <c r="K22" i="46"/>
  <c r="L22" i="46" s="1"/>
  <c r="N103" i="45"/>
  <c r="O103" i="45" s="1"/>
  <c r="L103" i="45"/>
  <c r="M103" i="45" s="1"/>
  <c r="N102" i="45"/>
  <c r="O102" i="45" s="1"/>
  <c r="L102" i="45"/>
  <c r="M102" i="45" s="1"/>
  <c r="M23" i="45"/>
  <c r="N23" i="45" s="1"/>
  <c r="K23" i="45"/>
  <c r="L23" i="45" s="1"/>
  <c r="N103" i="44"/>
  <c r="O103" i="44" s="1"/>
  <c r="L103" i="44"/>
  <c r="M103" i="44" s="1"/>
  <c r="N102" i="44"/>
  <c r="O102" i="44" s="1"/>
  <c r="L102" i="44"/>
  <c r="M102" i="44" s="1"/>
  <c r="M23" i="44"/>
  <c r="N23" i="44" s="1"/>
  <c r="K23" i="44"/>
  <c r="L23" i="44" s="1"/>
  <c r="N104" i="43"/>
  <c r="O104" i="43" s="1"/>
  <c r="L104" i="43"/>
  <c r="M104" i="43" s="1"/>
  <c r="O103" i="43"/>
  <c r="N103" i="43"/>
  <c r="L103" i="43"/>
  <c r="M103" i="43" s="1"/>
  <c r="M24" i="43"/>
  <c r="N24" i="43" s="1"/>
  <c r="O24" i="43" s="1"/>
  <c r="K24" i="43"/>
  <c r="L24" i="43" s="1"/>
  <c r="O104" i="42"/>
  <c r="N104" i="42"/>
  <c r="L104" i="42"/>
  <c r="M104" i="42" s="1"/>
  <c r="O103" i="42"/>
  <c r="N103" i="42"/>
  <c r="L103" i="42"/>
  <c r="M103" i="42" s="1"/>
  <c r="M24" i="42"/>
  <c r="N24" i="42" s="1"/>
  <c r="K24" i="42"/>
  <c r="L24" i="42" s="1"/>
  <c r="N104" i="41"/>
  <c r="O104" i="41" s="1"/>
  <c r="L104" i="41"/>
  <c r="M104" i="41" s="1"/>
  <c r="N103" i="41"/>
  <c r="O103" i="41" s="1"/>
  <c r="M103" i="41"/>
  <c r="L103" i="41"/>
  <c r="M24" i="41"/>
  <c r="N24" i="41" s="1"/>
  <c r="K24" i="41"/>
  <c r="L24" i="41" s="1"/>
  <c r="O104" i="40"/>
  <c r="N104" i="40"/>
  <c r="L104" i="40"/>
  <c r="M104" i="40" s="1"/>
  <c r="N103" i="40"/>
  <c r="O103" i="40" s="1"/>
  <c r="L103" i="40"/>
  <c r="M103" i="40" s="1"/>
  <c r="M24" i="40"/>
  <c r="N24" i="40" s="1"/>
  <c r="O24" i="40" s="1"/>
  <c r="K24" i="40"/>
  <c r="L24" i="40" s="1"/>
  <c r="N105" i="39"/>
  <c r="O105" i="39" s="1"/>
  <c r="L105" i="39"/>
  <c r="M105" i="39" s="1"/>
  <c r="N104" i="39"/>
  <c r="O104" i="39" s="1"/>
  <c r="P104" i="39" s="1"/>
  <c r="L104" i="39"/>
  <c r="M104" i="39" s="1"/>
  <c r="P104" i="42" l="1"/>
  <c r="O23" i="44"/>
  <c r="P102" i="44"/>
  <c r="O18" i="54"/>
  <c r="P105" i="39"/>
  <c r="P103" i="41"/>
  <c r="P104" i="41"/>
  <c r="O20" i="49"/>
  <c r="P102" i="54"/>
  <c r="P106" i="54"/>
  <c r="P105" i="54"/>
  <c r="P104" i="54"/>
  <c r="P100" i="54"/>
  <c r="P101" i="47"/>
  <c r="P99" i="57"/>
  <c r="O18" i="57"/>
  <c r="O17" i="13"/>
  <c r="O18" i="55"/>
  <c r="P99" i="54"/>
  <c r="P103" i="54"/>
  <c r="P101" i="54"/>
  <c r="P107" i="54"/>
  <c r="P100" i="49"/>
  <c r="O20" i="47"/>
  <c r="O23" i="45"/>
  <c r="P103" i="44"/>
  <c r="P103" i="43"/>
  <c r="P104" i="43"/>
  <c r="P103" i="42"/>
  <c r="O24" i="42"/>
  <c r="O24" i="41"/>
  <c r="P103" i="40"/>
  <c r="P104" i="40"/>
  <c r="N104" i="38"/>
  <c r="O104" i="38" s="1"/>
  <c r="L104" i="38"/>
  <c r="M104" i="38" s="1"/>
  <c r="N103" i="38"/>
  <c r="O103" i="38" s="1"/>
  <c r="L103" i="38"/>
  <c r="M103" i="38" s="1"/>
  <c r="M25" i="38"/>
  <c r="N25" i="38" s="1"/>
  <c r="O25" i="38" s="1"/>
  <c r="K25" i="38"/>
  <c r="L25" i="38" s="1"/>
  <c r="N105" i="37"/>
  <c r="O105" i="37" s="1"/>
  <c r="L105" i="37"/>
  <c r="M105" i="37" s="1"/>
  <c r="N104" i="37"/>
  <c r="O104" i="37" s="1"/>
  <c r="L104" i="37"/>
  <c r="M104" i="37" s="1"/>
  <c r="M25" i="37"/>
  <c r="N25" i="37" s="1"/>
  <c r="K25" i="37"/>
  <c r="L25" i="37" s="1"/>
  <c r="P104" i="37" l="1"/>
  <c r="P103" i="38"/>
  <c r="O25" i="37"/>
  <c r="P104" i="38"/>
  <c r="P105" i="37"/>
  <c r="N108" i="31" l="1"/>
  <c r="O108" i="31" s="1"/>
  <c r="L108" i="31"/>
  <c r="M108" i="31" s="1"/>
  <c r="O107" i="31"/>
  <c r="N107" i="31"/>
  <c r="L107" i="31"/>
  <c r="M107" i="31" s="1"/>
  <c r="P107" i="31" s="1"/>
  <c r="M28" i="31"/>
  <c r="N28" i="31" s="1"/>
  <c r="K28" i="31"/>
  <c r="L28" i="31" s="1"/>
  <c r="N107" i="30"/>
  <c r="O107" i="30" s="1"/>
  <c r="L107" i="30"/>
  <c r="M107" i="30" s="1"/>
  <c r="N106" i="30"/>
  <c r="O106" i="30" s="1"/>
  <c r="L106" i="30"/>
  <c r="M106" i="30" s="1"/>
  <c r="M27" i="30"/>
  <c r="N27" i="30" s="1"/>
  <c r="O27" i="30" s="1"/>
  <c r="K27" i="30"/>
  <c r="L27" i="30" s="1"/>
  <c r="O108" i="29"/>
  <c r="N108" i="29"/>
  <c r="L108" i="29"/>
  <c r="M108" i="29" s="1"/>
  <c r="N107" i="29"/>
  <c r="O107" i="29" s="1"/>
  <c r="L107" i="29"/>
  <c r="M107" i="29" s="1"/>
  <c r="M28" i="29"/>
  <c r="N28" i="29" s="1"/>
  <c r="K28" i="29"/>
  <c r="L28" i="29" s="1"/>
  <c r="N108" i="28"/>
  <c r="O108" i="28" s="1"/>
  <c r="L108" i="28"/>
  <c r="M108" i="28" s="1"/>
  <c r="N107" i="28"/>
  <c r="O107" i="28" s="1"/>
  <c r="P107" i="28" s="1"/>
  <c r="M107" i="28"/>
  <c r="L107" i="28"/>
  <c r="M28" i="28"/>
  <c r="N28" i="28" s="1"/>
  <c r="O28" i="28" s="1"/>
  <c r="K28" i="28"/>
  <c r="L28" i="28" s="1"/>
  <c r="O109" i="27"/>
  <c r="N109" i="27"/>
  <c r="L109" i="27"/>
  <c r="M109" i="27" s="1"/>
  <c r="O108" i="27"/>
  <c r="N108" i="27"/>
  <c r="L108" i="27"/>
  <c r="M108" i="27" s="1"/>
  <c r="N29" i="27"/>
  <c r="M29" i="27"/>
  <c r="K29" i="27"/>
  <c r="L29" i="27" s="1"/>
  <c r="N112" i="25"/>
  <c r="O112" i="25" s="1"/>
  <c r="L112" i="25"/>
  <c r="M112" i="25" s="1"/>
  <c r="N111" i="25"/>
  <c r="O111" i="25" s="1"/>
  <c r="L111" i="25"/>
  <c r="M111" i="25" s="1"/>
  <c r="M32" i="25"/>
  <c r="N32" i="25" s="1"/>
  <c r="O32" i="25" s="1"/>
  <c r="K32" i="25"/>
  <c r="L32" i="25" s="1"/>
  <c r="O110" i="24"/>
  <c r="N110" i="24"/>
  <c r="L110" i="24"/>
  <c r="M110" i="24" s="1"/>
  <c r="O109" i="24"/>
  <c r="N109" i="24"/>
  <c r="L109" i="24"/>
  <c r="M109" i="24" s="1"/>
  <c r="M29" i="24"/>
  <c r="N29" i="24" s="1"/>
  <c r="O29" i="24" s="1"/>
  <c r="K29" i="24"/>
  <c r="L29" i="24" s="1"/>
  <c r="O111" i="23"/>
  <c r="P111" i="23" s="1"/>
  <c r="N111" i="23"/>
  <c r="L111" i="23"/>
  <c r="M111" i="23" s="1"/>
  <c r="O110" i="23"/>
  <c r="P110" i="23" s="1"/>
  <c r="N110" i="23"/>
  <c r="L110" i="23"/>
  <c r="M110" i="23" s="1"/>
  <c r="M31" i="23"/>
  <c r="N31" i="23" s="1"/>
  <c r="O31" i="23" s="1"/>
  <c r="K31" i="23"/>
  <c r="L31" i="23" s="1"/>
  <c r="O112" i="22"/>
  <c r="N112" i="22"/>
  <c r="L112" i="22"/>
  <c r="M112" i="22" s="1"/>
  <c r="N111" i="22"/>
  <c r="O111" i="22" s="1"/>
  <c r="L111" i="22"/>
  <c r="M111" i="22" s="1"/>
  <c r="M32" i="22"/>
  <c r="N32" i="22" s="1"/>
  <c r="K32" i="22"/>
  <c r="L32" i="22" s="1"/>
  <c r="N115" i="11"/>
  <c r="O115" i="11" s="1"/>
  <c r="L115" i="11"/>
  <c r="M115" i="11" s="1"/>
  <c r="N114" i="11"/>
  <c r="O114" i="11" s="1"/>
  <c r="L114" i="11"/>
  <c r="M114" i="11" s="1"/>
  <c r="M35" i="11"/>
  <c r="N35" i="11" s="1"/>
  <c r="O35" i="11" s="1"/>
  <c r="K35" i="11"/>
  <c r="L35" i="11" s="1"/>
  <c r="O116" i="10"/>
  <c r="N116" i="10"/>
  <c r="L116" i="10"/>
  <c r="M116" i="10" s="1"/>
  <c r="N115" i="10"/>
  <c r="O115" i="10" s="1"/>
  <c r="L115" i="10"/>
  <c r="M115" i="10" s="1"/>
  <c r="M36" i="10"/>
  <c r="N36" i="10" s="1"/>
  <c r="K36" i="10"/>
  <c r="L36" i="10" s="1"/>
  <c r="N115" i="9"/>
  <c r="O115" i="9" s="1"/>
  <c r="L115" i="9"/>
  <c r="M115" i="9" s="1"/>
  <c r="N114" i="9"/>
  <c r="O114" i="9" s="1"/>
  <c r="L114" i="9"/>
  <c r="M114" i="9" s="1"/>
  <c r="M35" i="9"/>
  <c r="N35" i="9" s="1"/>
  <c r="O35" i="9" s="1"/>
  <c r="K35" i="9"/>
  <c r="L35" i="9" s="1"/>
  <c r="N114" i="8"/>
  <c r="O114" i="8" s="1"/>
  <c r="P114" i="8" s="1"/>
  <c r="L114" i="8"/>
  <c r="M114" i="8" s="1"/>
  <c r="N113" i="8"/>
  <c r="O113" i="8" s="1"/>
  <c r="L113" i="8"/>
  <c r="M113" i="8" s="1"/>
  <c r="M34" i="8"/>
  <c r="N34" i="8" s="1"/>
  <c r="K34" i="8"/>
  <c r="L34" i="8" s="1"/>
  <c r="N116" i="7"/>
  <c r="O116" i="7" s="1"/>
  <c r="P116" i="7" s="1"/>
  <c r="L116" i="7"/>
  <c r="M116" i="7" s="1"/>
  <c r="N115" i="7"/>
  <c r="O115" i="7" s="1"/>
  <c r="P115" i="7" s="1"/>
  <c r="L115" i="7"/>
  <c r="M115" i="7" s="1"/>
  <c r="M36" i="7"/>
  <c r="N36" i="7" s="1"/>
  <c r="K36" i="7"/>
  <c r="L36" i="7" s="1"/>
  <c r="N114" i="6"/>
  <c r="O114" i="6" s="1"/>
  <c r="L114" i="6"/>
  <c r="M114" i="6" s="1"/>
  <c r="N113" i="6"/>
  <c r="O113" i="6" s="1"/>
  <c r="L113" i="6"/>
  <c r="M113" i="6" s="1"/>
  <c r="M34" i="6"/>
  <c r="N34" i="6" s="1"/>
  <c r="K34" i="6"/>
  <c r="L34" i="6" s="1"/>
  <c r="N113" i="5"/>
  <c r="O113" i="5" s="1"/>
  <c r="L113" i="5"/>
  <c r="M113" i="5" s="1"/>
  <c r="N112" i="5"/>
  <c r="O112" i="5" s="1"/>
  <c r="M112" i="5"/>
  <c r="L112" i="5"/>
  <c r="M33" i="5"/>
  <c r="N33" i="5" s="1"/>
  <c r="K33" i="5"/>
  <c r="L33" i="5" s="1"/>
  <c r="N113" i="4"/>
  <c r="O113" i="4" s="1"/>
  <c r="P113" i="4" s="1"/>
  <c r="L113" i="4"/>
  <c r="M113" i="4" s="1"/>
  <c r="N112" i="4"/>
  <c r="O112" i="4" s="1"/>
  <c r="P112" i="4" s="1"/>
  <c r="L112" i="4"/>
  <c r="M112" i="4" s="1"/>
  <c r="M33" i="4"/>
  <c r="N33" i="4" s="1"/>
  <c r="O33" i="4" s="1"/>
  <c r="K33" i="4"/>
  <c r="L33" i="4" s="1"/>
  <c r="M33" i="3"/>
  <c r="N33" i="3" s="1"/>
  <c r="K33" i="3"/>
  <c r="L33" i="3" s="1"/>
  <c r="N113" i="3"/>
  <c r="O113" i="3" s="1"/>
  <c r="P113" i="3" s="1"/>
  <c r="L113" i="3"/>
  <c r="M113" i="3" s="1"/>
  <c r="O112" i="3"/>
  <c r="N112" i="3"/>
  <c r="L112" i="3"/>
  <c r="M112" i="3" s="1"/>
  <c r="P112" i="22" l="1"/>
  <c r="O32" i="22"/>
  <c r="P112" i="3"/>
  <c r="O36" i="10"/>
  <c r="O34" i="8"/>
  <c r="P114" i="9"/>
  <c r="P115" i="10"/>
  <c r="O33" i="5"/>
  <c r="O36" i="7"/>
  <c r="P113" i="8"/>
  <c r="P116" i="10"/>
  <c r="O33" i="3"/>
  <c r="O34" i="6"/>
  <c r="P108" i="28"/>
  <c r="P108" i="31"/>
  <c r="O28" i="31"/>
  <c r="P106" i="30"/>
  <c r="P107" i="30"/>
  <c r="O28" i="29"/>
  <c r="P108" i="27"/>
  <c r="P109" i="27"/>
  <c r="O29" i="27"/>
  <c r="P109" i="24"/>
  <c r="P110" i="24"/>
  <c r="P111" i="22"/>
  <c r="P115" i="9"/>
  <c r="P113" i="6"/>
  <c r="P114" i="6"/>
  <c r="I29" i="27" l="1"/>
  <c r="L51" i="17" l="1"/>
  <c r="L52" i="17"/>
  <c r="V52" i="17" l="1"/>
  <c r="I17" i="47" l="1"/>
  <c r="I18" i="47" l="1"/>
  <c r="I19" i="47" l="1"/>
  <c r="P83" i="57" l="1"/>
  <c r="D8" i="57"/>
  <c r="D90" i="57" s="1"/>
  <c r="P154" i="57"/>
  <c r="O154" i="57"/>
  <c r="M154" i="57"/>
  <c r="J154" i="57"/>
  <c r="P153" i="57"/>
  <c r="O153" i="57"/>
  <c r="M153" i="57"/>
  <c r="J153" i="57"/>
  <c r="P152" i="57"/>
  <c r="O152" i="57"/>
  <c r="M152" i="57"/>
  <c r="J152" i="57"/>
  <c r="P151" i="57"/>
  <c r="O151" i="57"/>
  <c r="M151" i="57"/>
  <c r="J151" i="57"/>
  <c r="P150" i="57"/>
  <c r="O150" i="57"/>
  <c r="M150" i="57"/>
  <c r="J150" i="57"/>
  <c r="P149" i="57"/>
  <c r="O149" i="57"/>
  <c r="M149" i="57"/>
  <c r="J149" i="57"/>
  <c r="P148" i="57"/>
  <c r="O148" i="57"/>
  <c r="M148" i="57"/>
  <c r="J148" i="57"/>
  <c r="P147" i="57"/>
  <c r="O147" i="57"/>
  <c r="M147" i="57"/>
  <c r="J147" i="57"/>
  <c r="P146" i="57"/>
  <c r="O146" i="57"/>
  <c r="M146" i="57"/>
  <c r="J146" i="57"/>
  <c r="P145" i="57"/>
  <c r="O145" i="57"/>
  <c r="M145" i="57"/>
  <c r="J145" i="57"/>
  <c r="P144" i="57"/>
  <c r="O144" i="57"/>
  <c r="M144" i="57"/>
  <c r="J144" i="57"/>
  <c r="P143" i="57"/>
  <c r="O143" i="57"/>
  <c r="M143" i="57"/>
  <c r="J143" i="57"/>
  <c r="P142" i="57"/>
  <c r="O142" i="57"/>
  <c r="M142" i="57"/>
  <c r="J142" i="57"/>
  <c r="P141" i="57"/>
  <c r="O141" i="57"/>
  <c r="M141" i="57"/>
  <c r="J141" i="57"/>
  <c r="P140" i="57"/>
  <c r="O140" i="57"/>
  <c r="M140" i="57"/>
  <c r="J140" i="57"/>
  <c r="P139" i="57"/>
  <c r="O139" i="57"/>
  <c r="M139" i="57"/>
  <c r="J139" i="57"/>
  <c r="P138" i="57"/>
  <c r="O138" i="57"/>
  <c r="M138" i="57"/>
  <c r="J138" i="57"/>
  <c r="P137" i="57"/>
  <c r="O137" i="57"/>
  <c r="M137" i="57"/>
  <c r="J137" i="57"/>
  <c r="P136" i="57"/>
  <c r="O136" i="57"/>
  <c r="M136" i="57"/>
  <c r="J136" i="57"/>
  <c r="P135" i="57"/>
  <c r="O135" i="57"/>
  <c r="M135" i="57"/>
  <c r="J135" i="57"/>
  <c r="P134" i="57"/>
  <c r="O134" i="57"/>
  <c r="M134" i="57"/>
  <c r="J134" i="57"/>
  <c r="P133" i="57"/>
  <c r="O133" i="57"/>
  <c r="M133" i="57"/>
  <c r="J133" i="57"/>
  <c r="P132" i="57"/>
  <c r="O132" i="57"/>
  <c r="M132" i="57"/>
  <c r="J132" i="57"/>
  <c r="P131" i="57"/>
  <c r="O131" i="57"/>
  <c r="M131" i="57"/>
  <c r="J131" i="57"/>
  <c r="O130" i="57"/>
  <c r="M130" i="57"/>
  <c r="O129" i="57"/>
  <c r="M129" i="57"/>
  <c r="O128" i="57"/>
  <c r="M128" i="57"/>
  <c r="O127" i="57"/>
  <c r="M127" i="57"/>
  <c r="O126" i="57"/>
  <c r="M126" i="57"/>
  <c r="O125" i="57"/>
  <c r="M125" i="57"/>
  <c r="O124" i="57"/>
  <c r="M124" i="57"/>
  <c r="O123" i="57"/>
  <c r="M123" i="57"/>
  <c r="O122" i="57"/>
  <c r="M122" i="57"/>
  <c r="O121" i="57"/>
  <c r="M121" i="57"/>
  <c r="O120" i="57"/>
  <c r="M120" i="57"/>
  <c r="O119" i="57"/>
  <c r="M119" i="57"/>
  <c r="O118" i="57"/>
  <c r="M118" i="57"/>
  <c r="O117" i="57"/>
  <c r="M117" i="57"/>
  <c r="O116" i="57"/>
  <c r="M116" i="57"/>
  <c r="O115" i="57"/>
  <c r="M115" i="57"/>
  <c r="O114" i="57"/>
  <c r="M114" i="57"/>
  <c r="O113" i="57"/>
  <c r="M113" i="57"/>
  <c r="O112" i="57"/>
  <c r="M112" i="57"/>
  <c r="O111" i="57"/>
  <c r="M111" i="57"/>
  <c r="O110" i="57"/>
  <c r="M110" i="57"/>
  <c r="O109" i="57"/>
  <c r="M109" i="57"/>
  <c r="O108" i="57"/>
  <c r="M108" i="57"/>
  <c r="C99" i="57"/>
  <c r="D96" i="57"/>
  <c r="L93" i="57"/>
  <c r="J93" i="57"/>
  <c r="D91" i="57"/>
  <c r="D89" i="57"/>
  <c r="N72" i="57"/>
  <c r="L72" i="57"/>
  <c r="N71" i="57"/>
  <c r="L71" i="57"/>
  <c r="N70" i="57"/>
  <c r="L70" i="57"/>
  <c r="N69" i="57"/>
  <c r="L69" i="57"/>
  <c r="N68" i="57"/>
  <c r="L68" i="57"/>
  <c r="N67" i="57"/>
  <c r="L67" i="57"/>
  <c r="N66" i="57"/>
  <c r="L66" i="57"/>
  <c r="N65" i="57"/>
  <c r="L65" i="57"/>
  <c r="N64" i="57"/>
  <c r="L64" i="57"/>
  <c r="N63" i="57"/>
  <c r="L63" i="57"/>
  <c r="N62" i="57"/>
  <c r="L62" i="57"/>
  <c r="N61" i="57"/>
  <c r="L61" i="57"/>
  <c r="N60" i="57"/>
  <c r="L60" i="57"/>
  <c r="N59" i="57"/>
  <c r="L59" i="57"/>
  <c r="N58" i="57"/>
  <c r="L58" i="57"/>
  <c r="N57" i="57"/>
  <c r="L57" i="57"/>
  <c r="N56" i="57"/>
  <c r="L56" i="57"/>
  <c r="N55" i="57"/>
  <c r="L55" i="57"/>
  <c r="N54" i="57"/>
  <c r="L54" i="57"/>
  <c r="N53" i="57"/>
  <c r="L53" i="57"/>
  <c r="N52" i="57"/>
  <c r="L52" i="57"/>
  <c r="N51" i="57"/>
  <c r="L51" i="57"/>
  <c r="N50" i="57"/>
  <c r="L50" i="57"/>
  <c r="N49" i="57"/>
  <c r="L49" i="57"/>
  <c r="N48" i="57"/>
  <c r="L48" i="57"/>
  <c r="N47" i="57"/>
  <c r="L47" i="57"/>
  <c r="N46" i="57"/>
  <c r="L46" i="57"/>
  <c r="N45" i="57"/>
  <c r="L45" i="57"/>
  <c r="N44" i="57"/>
  <c r="L44" i="57"/>
  <c r="N43" i="57"/>
  <c r="L43" i="57"/>
  <c r="N42" i="57"/>
  <c r="L42" i="57"/>
  <c r="N41" i="57"/>
  <c r="L41" i="57"/>
  <c r="N40" i="57"/>
  <c r="L40" i="57"/>
  <c r="N39" i="57"/>
  <c r="L39" i="57"/>
  <c r="N38" i="57"/>
  <c r="L38" i="57"/>
  <c r="N37" i="57"/>
  <c r="L37" i="57"/>
  <c r="N36" i="57"/>
  <c r="L36" i="57"/>
  <c r="N35" i="57"/>
  <c r="L35" i="57"/>
  <c r="N34" i="57"/>
  <c r="L34" i="57"/>
  <c r="N33" i="57"/>
  <c r="L33" i="57"/>
  <c r="N32" i="57"/>
  <c r="L32" i="57"/>
  <c r="N31" i="57"/>
  <c r="L31" i="57"/>
  <c r="N30" i="57"/>
  <c r="L30" i="57"/>
  <c r="N29" i="57"/>
  <c r="L29" i="57"/>
  <c r="N28" i="57"/>
  <c r="L28" i="57"/>
  <c r="N27" i="57"/>
  <c r="L27" i="57"/>
  <c r="N26" i="57"/>
  <c r="L26" i="57"/>
  <c r="N25" i="57"/>
  <c r="L25" i="57"/>
  <c r="N24" i="57"/>
  <c r="L24" i="57"/>
  <c r="N23" i="57"/>
  <c r="L23" i="57"/>
  <c r="N22" i="57"/>
  <c r="L22" i="57"/>
  <c r="N21" i="57"/>
  <c r="L21" i="57"/>
  <c r="N20" i="57"/>
  <c r="L20" i="57"/>
  <c r="N19" i="57"/>
  <c r="L19" i="57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K11" i="57"/>
  <c r="I11" i="57"/>
  <c r="O26" i="57" l="1"/>
  <c r="O34" i="57"/>
  <c r="O22" i="57"/>
  <c r="O30" i="57"/>
  <c r="O65" i="57"/>
  <c r="P109" i="57"/>
  <c r="P125" i="57"/>
  <c r="O41" i="57"/>
  <c r="O45" i="57"/>
  <c r="O49" i="57"/>
  <c r="O53" i="57"/>
  <c r="O57" i="57"/>
  <c r="O61" i="57"/>
  <c r="O67" i="57"/>
  <c r="O23" i="57"/>
  <c r="O63" i="57"/>
  <c r="O36" i="57"/>
  <c r="O37" i="57"/>
  <c r="O66" i="57"/>
  <c r="P127" i="57"/>
  <c r="P112" i="57"/>
  <c r="P116" i="57"/>
  <c r="P124" i="57"/>
  <c r="O72" i="57"/>
  <c r="P129" i="57"/>
  <c r="O62" i="57"/>
  <c r="P126" i="57"/>
  <c r="P130" i="57"/>
  <c r="O64" i="57"/>
  <c r="O68" i="57"/>
  <c r="O19" i="57"/>
  <c r="O55" i="57"/>
  <c r="O27" i="57"/>
  <c r="O38" i="57"/>
  <c r="O46" i="57"/>
  <c r="O54" i="57"/>
  <c r="O69" i="57"/>
  <c r="P113" i="57"/>
  <c r="P117" i="57"/>
  <c r="P121" i="57"/>
  <c r="O39" i="57"/>
  <c r="O47" i="57"/>
  <c r="P118" i="57"/>
  <c r="O21" i="57"/>
  <c r="O29" i="57"/>
  <c r="O33" i="57"/>
  <c r="O44" i="57"/>
  <c r="O52" i="57"/>
  <c r="O56" i="57"/>
  <c r="O60" i="57"/>
  <c r="P120" i="57"/>
  <c r="O40" i="57"/>
  <c r="O50" i="57"/>
  <c r="P128" i="57"/>
  <c r="O71" i="57"/>
  <c r="P110" i="57"/>
  <c r="P114" i="57"/>
  <c r="O24" i="57"/>
  <c r="O31" i="57"/>
  <c r="O48" i="57"/>
  <c r="O58" i="57"/>
  <c r="P111" i="57"/>
  <c r="P115" i="57"/>
  <c r="P122" i="57"/>
  <c r="P108" i="57"/>
  <c r="P119" i="57"/>
  <c r="O32" i="57"/>
  <c r="O42" i="57"/>
  <c r="P123" i="57"/>
  <c r="C45" i="57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O25" i="57"/>
  <c r="O20" i="57"/>
  <c r="O28" i="57"/>
  <c r="O43" i="57"/>
  <c r="O59" i="57"/>
  <c r="C100" i="57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O35" i="57"/>
  <c r="O51" i="57"/>
  <c r="O70" i="57"/>
  <c r="C127" i="57" l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P154" i="56" l="1"/>
  <c r="O154" i="56"/>
  <c r="M154" i="56"/>
  <c r="J154" i="56"/>
  <c r="P153" i="56"/>
  <c r="O153" i="56"/>
  <c r="M153" i="56"/>
  <c r="J153" i="56"/>
  <c r="P152" i="56"/>
  <c r="O152" i="56"/>
  <c r="M152" i="56"/>
  <c r="J152" i="56"/>
  <c r="P151" i="56"/>
  <c r="O151" i="56"/>
  <c r="M151" i="56"/>
  <c r="J151" i="56"/>
  <c r="P150" i="56"/>
  <c r="O150" i="56"/>
  <c r="M150" i="56"/>
  <c r="J150" i="56"/>
  <c r="P149" i="56"/>
  <c r="O149" i="56"/>
  <c r="M149" i="56"/>
  <c r="J149" i="56"/>
  <c r="P148" i="56"/>
  <c r="O148" i="56"/>
  <c r="M148" i="56"/>
  <c r="J148" i="56"/>
  <c r="P147" i="56"/>
  <c r="O147" i="56"/>
  <c r="M147" i="56"/>
  <c r="J147" i="56"/>
  <c r="P146" i="56"/>
  <c r="O146" i="56"/>
  <c r="M146" i="56"/>
  <c r="J146" i="56"/>
  <c r="P145" i="56"/>
  <c r="O145" i="56"/>
  <c r="M145" i="56"/>
  <c r="J145" i="56"/>
  <c r="P144" i="56"/>
  <c r="O144" i="56"/>
  <c r="M144" i="56"/>
  <c r="J144" i="56"/>
  <c r="P143" i="56"/>
  <c r="O143" i="56"/>
  <c r="M143" i="56"/>
  <c r="J143" i="56"/>
  <c r="P142" i="56"/>
  <c r="O142" i="56"/>
  <c r="M142" i="56"/>
  <c r="J142" i="56"/>
  <c r="P141" i="56"/>
  <c r="O141" i="56"/>
  <c r="M141" i="56"/>
  <c r="J141" i="56"/>
  <c r="P140" i="56"/>
  <c r="O140" i="56"/>
  <c r="M140" i="56"/>
  <c r="J140" i="56"/>
  <c r="P139" i="56"/>
  <c r="O139" i="56"/>
  <c r="M139" i="56"/>
  <c r="J139" i="56"/>
  <c r="P138" i="56"/>
  <c r="O138" i="56"/>
  <c r="M138" i="56"/>
  <c r="J138" i="56"/>
  <c r="P137" i="56"/>
  <c r="O137" i="56"/>
  <c r="M137" i="56"/>
  <c r="J137" i="56"/>
  <c r="P136" i="56"/>
  <c r="O136" i="56"/>
  <c r="M136" i="56"/>
  <c r="J136" i="56"/>
  <c r="P135" i="56"/>
  <c r="O135" i="56"/>
  <c r="M135" i="56"/>
  <c r="J135" i="56"/>
  <c r="P134" i="56"/>
  <c r="O134" i="56"/>
  <c r="M134" i="56"/>
  <c r="J134" i="56"/>
  <c r="P133" i="56"/>
  <c r="O133" i="56"/>
  <c r="M133" i="56"/>
  <c r="J133" i="56"/>
  <c r="P132" i="56"/>
  <c r="O132" i="56"/>
  <c r="M132" i="56"/>
  <c r="J132" i="56"/>
  <c r="P131" i="56"/>
  <c r="O131" i="56"/>
  <c r="M131" i="56"/>
  <c r="J131" i="56"/>
  <c r="O130" i="56"/>
  <c r="M130" i="56"/>
  <c r="O129" i="56"/>
  <c r="M129" i="56"/>
  <c r="O128" i="56"/>
  <c r="M128" i="56"/>
  <c r="O127" i="56"/>
  <c r="M127" i="56"/>
  <c r="O126" i="56"/>
  <c r="M126" i="56"/>
  <c r="O125" i="56"/>
  <c r="M125" i="56"/>
  <c r="O124" i="56"/>
  <c r="M124" i="56"/>
  <c r="O123" i="56"/>
  <c r="M123" i="56"/>
  <c r="O122" i="56"/>
  <c r="M122" i="56"/>
  <c r="O121" i="56"/>
  <c r="M121" i="56"/>
  <c r="O120" i="56"/>
  <c r="M120" i="56"/>
  <c r="O119" i="56"/>
  <c r="M119" i="56"/>
  <c r="O118" i="56"/>
  <c r="M118" i="56"/>
  <c r="O117" i="56"/>
  <c r="M117" i="56"/>
  <c r="O116" i="56"/>
  <c r="M116" i="56"/>
  <c r="O115" i="56"/>
  <c r="M115" i="56"/>
  <c r="O114" i="56"/>
  <c r="M114" i="56"/>
  <c r="O113" i="56"/>
  <c r="M113" i="56"/>
  <c r="O112" i="56"/>
  <c r="M112" i="56"/>
  <c r="O111" i="56"/>
  <c r="M111" i="56"/>
  <c r="O110" i="56"/>
  <c r="M110" i="56"/>
  <c r="O109" i="56"/>
  <c r="M109" i="56"/>
  <c r="O108" i="56"/>
  <c r="M108" i="56"/>
  <c r="O107" i="56"/>
  <c r="M107" i="56"/>
  <c r="O106" i="56"/>
  <c r="M106" i="56"/>
  <c r="O105" i="56"/>
  <c r="M105" i="56"/>
  <c r="O104" i="56"/>
  <c r="M104" i="56"/>
  <c r="O103" i="56"/>
  <c r="M103" i="56"/>
  <c r="O102" i="56"/>
  <c r="M102" i="56"/>
  <c r="O101" i="56"/>
  <c r="M101" i="56"/>
  <c r="C101" i="56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100" i="56"/>
  <c r="M100" i="56"/>
  <c r="O99" i="56"/>
  <c r="M99" i="56"/>
  <c r="C99" i="56"/>
  <c r="C100" i="56" s="1"/>
  <c r="D96" i="56"/>
  <c r="L93" i="56"/>
  <c r="J93" i="56"/>
  <c r="D91" i="56"/>
  <c r="D89" i="56"/>
  <c r="N72" i="56"/>
  <c r="L72" i="56"/>
  <c r="N71" i="56"/>
  <c r="L71" i="56"/>
  <c r="N70" i="56"/>
  <c r="L70" i="56"/>
  <c r="N69" i="56"/>
  <c r="L69" i="56"/>
  <c r="N68" i="56"/>
  <c r="L68" i="56"/>
  <c r="N67" i="56"/>
  <c r="L67" i="56"/>
  <c r="N66" i="56"/>
  <c r="L66" i="56"/>
  <c r="N65" i="56"/>
  <c r="L65" i="56"/>
  <c r="N64" i="56"/>
  <c r="L64" i="56"/>
  <c r="N63" i="56"/>
  <c r="L63" i="56"/>
  <c r="N62" i="56"/>
  <c r="L62" i="56"/>
  <c r="N61" i="56"/>
  <c r="L61" i="56"/>
  <c r="N60" i="56"/>
  <c r="L60" i="56"/>
  <c r="N59" i="56"/>
  <c r="L59" i="56"/>
  <c r="N58" i="56"/>
  <c r="L58" i="56"/>
  <c r="N57" i="56"/>
  <c r="L57" i="56"/>
  <c r="N56" i="56"/>
  <c r="L56" i="56"/>
  <c r="N55" i="56"/>
  <c r="L55" i="56"/>
  <c r="N54" i="56"/>
  <c r="L54" i="56"/>
  <c r="N53" i="56"/>
  <c r="L53" i="56"/>
  <c r="N52" i="56"/>
  <c r="L52" i="56"/>
  <c r="N51" i="56"/>
  <c r="L51" i="56"/>
  <c r="N50" i="56"/>
  <c r="L50" i="56"/>
  <c r="N49" i="56"/>
  <c r="L49" i="56"/>
  <c r="N48" i="56"/>
  <c r="L48" i="56"/>
  <c r="N47" i="56"/>
  <c r="L47" i="56"/>
  <c r="N46" i="56"/>
  <c r="L46" i="56"/>
  <c r="N45" i="56"/>
  <c r="L45" i="56"/>
  <c r="N44" i="56"/>
  <c r="L44" i="56"/>
  <c r="N43" i="56"/>
  <c r="L43" i="56"/>
  <c r="N42" i="56"/>
  <c r="L42" i="56"/>
  <c r="N41" i="56"/>
  <c r="L41" i="56"/>
  <c r="N40" i="56"/>
  <c r="L40" i="56"/>
  <c r="N39" i="56"/>
  <c r="L39" i="56"/>
  <c r="N38" i="56"/>
  <c r="L38" i="56"/>
  <c r="N37" i="56"/>
  <c r="L37" i="56"/>
  <c r="N36" i="56"/>
  <c r="L36" i="56"/>
  <c r="N35" i="56"/>
  <c r="L35" i="56"/>
  <c r="N34" i="56"/>
  <c r="L34" i="56"/>
  <c r="N33" i="56"/>
  <c r="L33" i="56"/>
  <c r="N32" i="56"/>
  <c r="L32" i="56"/>
  <c r="N31" i="56"/>
  <c r="L31" i="56"/>
  <c r="N30" i="56"/>
  <c r="L30" i="56"/>
  <c r="N29" i="56"/>
  <c r="L29" i="56"/>
  <c r="N28" i="56"/>
  <c r="L28" i="56"/>
  <c r="N27" i="56"/>
  <c r="L27" i="56"/>
  <c r="N26" i="56"/>
  <c r="L26" i="56"/>
  <c r="N25" i="56"/>
  <c r="L25" i="56"/>
  <c r="N24" i="56"/>
  <c r="L24" i="56"/>
  <c r="N23" i="56"/>
  <c r="L23" i="56"/>
  <c r="N22" i="56"/>
  <c r="L22" i="56"/>
  <c r="N21" i="56"/>
  <c r="L21" i="56"/>
  <c r="N20" i="56"/>
  <c r="L20" i="56"/>
  <c r="N19" i="56"/>
  <c r="L19" i="56"/>
  <c r="N18" i="56"/>
  <c r="L18" i="56"/>
  <c r="N17" i="56"/>
  <c r="L17" i="56"/>
  <c r="E17" i="56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I14" i="56"/>
  <c r="K11" i="56"/>
  <c r="I11" i="56"/>
  <c r="D8" i="56"/>
  <c r="D90" i="56" s="1"/>
  <c r="P1" i="56"/>
  <c r="P83" i="56" s="1"/>
  <c r="O24" i="56" l="1"/>
  <c r="O32" i="56"/>
  <c r="P102" i="56"/>
  <c r="P118" i="56"/>
  <c r="P110" i="56"/>
  <c r="P114" i="56"/>
  <c r="P106" i="56"/>
  <c r="P122" i="56"/>
  <c r="O68" i="56"/>
  <c r="O21" i="56"/>
  <c r="O25" i="56"/>
  <c r="O29" i="56"/>
  <c r="O33" i="56"/>
  <c r="O37" i="56"/>
  <c r="O41" i="56"/>
  <c r="O53" i="56"/>
  <c r="O69" i="56"/>
  <c r="O18" i="56"/>
  <c r="O26" i="56"/>
  <c r="O50" i="56"/>
  <c r="O58" i="56"/>
  <c r="O66" i="56"/>
  <c r="P103" i="56"/>
  <c r="P107" i="56"/>
  <c r="P111" i="56"/>
  <c r="P115" i="56"/>
  <c r="P119" i="56"/>
  <c r="P123" i="56"/>
  <c r="P127" i="56"/>
  <c r="O19" i="56"/>
  <c r="O51" i="56"/>
  <c r="O23" i="56"/>
  <c r="O39" i="56"/>
  <c r="O47" i="56"/>
  <c r="O27" i="56"/>
  <c r="O43" i="56"/>
  <c r="O63" i="56"/>
  <c r="O59" i="56"/>
  <c r="O31" i="56"/>
  <c r="O56" i="56"/>
  <c r="O22" i="56"/>
  <c r="O30" i="56"/>
  <c r="O42" i="56"/>
  <c r="O46" i="56"/>
  <c r="O54" i="56"/>
  <c r="O55" i="56"/>
  <c r="O70" i="56"/>
  <c r="O20" i="56"/>
  <c r="O28" i="56"/>
  <c r="O36" i="56"/>
  <c r="O44" i="56"/>
  <c r="O52" i="56"/>
  <c r="O71" i="56"/>
  <c r="O17" i="56"/>
  <c r="O49" i="56"/>
  <c r="O60" i="56"/>
  <c r="O57" i="56"/>
  <c r="O61" i="56"/>
  <c r="O34" i="56"/>
  <c r="O62" i="56"/>
  <c r="O35" i="56"/>
  <c r="O45" i="56"/>
  <c r="O72" i="56"/>
  <c r="P101" i="56"/>
  <c r="P117" i="56"/>
  <c r="P121" i="56"/>
  <c r="P125" i="56"/>
  <c r="P129" i="56"/>
  <c r="O40" i="56"/>
  <c r="P126" i="56"/>
  <c r="O67" i="56"/>
  <c r="O48" i="56"/>
  <c r="O64" i="56"/>
  <c r="P100" i="56"/>
  <c r="O38" i="56"/>
  <c r="O65" i="56"/>
  <c r="P104" i="56"/>
  <c r="P108" i="56"/>
  <c r="P112" i="56"/>
  <c r="P116" i="56"/>
  <c r="P120" i="56"/>
  <c r="P124" i="56"/>
  <c r="P128" i="56"/>
  <c r="P130" i="56"/>
  <c r="P99" i="56"/>
  <c r="P109" i="56"/>
  <c r="P113" i="56"/>
  <c r="F17" i="56"/>
  <c r="P105" i="56"/>
  <c r="D18" i="56" l="1"/>
  <c r="E18" i="56" s="1"/>
  <c r="B18" i="56" l="1"/>
  <c r="F18" i="56"/>
  <c r="D19" i="56" l="1"/>
  <c r="E19" i="56" s="1"/>
  <c r="F19" i="56" l="1"/>
  <c r="B19" i="56"/>
  <c r="D20" i="56" l="1"/>
  <c r="E20" i="56" s="1"/>
  <c r="F20" i="56" l="1"/>
  <c r="B20" i="56"/>
  <c r="D21" i="56" l="1"/>
  <c r="B21" i="56" l="1"/>
  <c r="E21" i="56"/>
  <c r="F21" i="56" s="1"/>
  <c r="D22" i="56" l="1"/>
  <c r="B22" i="56" l="1"/>
  <c r="E22" i="56"/>
  <c r="F22" i="56" s="1"/>
  <c r="D23" i="56" l="1"/>
  <c r="E23" i="56" s="1"/>
  <c r="B23" i="56" l="1"/>
  <c r="F23" i="56"/>
  <c r="D24" i="56" l="1"/>
  <c r="E24" i="56" s="1"/>
  <c r="F24" i="56" l="1"/>
  <c r="B24" i="56"/>
  <c r="D25" i="56" l="1"/>
  <c r="B25" i="56" l="1"/>
  <c r="E25" i="56"/>
  <c r="F25" i="56" s="1"/>
  <c r="D26" i="56" l="1"/>
  <c r="E26" i="56" s="1"/>
  <c r="B26" i="56" l="1"/>
  <c r="F26" i="56"/>
  <c r="D27" i="56" l="1"/>
  <c r="E27" i="56" s="1"/>
  <c r="F27" i="56" l="1"/>
  <c r="B27" i="56"/>
  <c r="D28" i="56" l="1"/>
  <c r="E28" i="56" s="1"/>
  <c r="B28" i="56" l="1"/>
  <c r="F28" i="56"/>
  <c r="D29" i="56" l="1"/>
  <c r="E29" i="56" s="1"/>
  <c r="B29" i="56" l="1"/>
  <c r="F29" i="56"/>
  <c r="D30" i="56" l="1"/>
  <c r="B30" i="56" l="1"/>
  <c r="E30" i="56"/>
  <c r="F30" i="56" s="1"/>
  <c r="D31" i="56" l="1"/>
  <c r="E31" i="56" s="1"/>
  <c r="B31" i="56" l="1"/>
  <c r="F31" i="56"/>
  <c r="D32" i="56" l="1"/>
  <c r="E32" i="56" s="1"/>
  <c r="F32" i="56" l="1"/>
  <c r="B32" i="56"/>
  <c r="D33" i="56" l="1"/>
  <c r="B33" i="56" l="1"/>
  <c r="E33" i="56"/>
  <c r="F33" i="56" s="1"/>
  <c r="D34" i="56" l="1"/>
  <c r="E34" i="56" s="1"/>
  <c r="B34" i="56" l="1"/>
  <c r="F34" i="56"/>
  <c r="D35" i="56" l="1"/>
  <c r="E35" i="56" s="1"/>
  <c r="F35" i="56" l="1"/>
  <c r="B35" i="56"/>
  <c r="D36" i="56" l="1"/>
  <c r="E36" i="56" s="1"/>
  <c r="B36" i="56" l="1"/>
  <c r="F36" i="56"/>
  <c r="D37" i="56" l="1"/>
  <c r="B37" i="56" l="1"/>
  <c r="E37" i="56"/>
  <c r="F37" i="56" s="1"/>
  <c r="D38" i="56" l="1"/>
  <c r="E38" i="56" s="1"/>
  <c r="F38" i="56" l="1"/>
  <c r="B38" i="56"/>
  <c r="D39" i="56" l="1"/>
  <c r="E39" i="56" s="1"/>
  <c r="B39" i="56" l="1"/>
  <c r="F39" i="56"/>
  <c r="D40" i="56" l="1"/>
  <c r="E40" i="56" s="1"/>
  <c r="F40" i="56" l="1"/>
  <c r="B40" i="56"/>
  <c r="D41" i="56" l="1"/>
  <c r="E41" i="56" s="1"/>
  <c r="F41" i="56" l="1"/>
  <c r="B41" i="56"/>
  <c r="D42" i="56" l="1"/>
  <c r="E42" i="56" s="1"/>
  <c r="B42" i="56" l="1"/>
  <c r="F42" i="56"/>
  <c r="D43" i="56" l="1"/>
  <c r="B43" i="56" l="1"/>
  <c r="E43" i="56"/>
  <c r="F43" i="56" s="1"/>
  <c r="D44" i="56" l="1"/>
  <c r="E44" i="56" s="1"/>
  <c r="B44" i="56" l="1"/>
  <c r="F44" i="56"/>
  <c r="D45" i="56" l="1"/>
  <c r="B45" i="56" l="1"/>
  <c r="E45" i="56"/>
  <c r="F45" i="56" s="1"/>
  <c r="D46" i="56" l="1"/>
  <c r="E46" i="56" s="1"/>
  <c r="M17" i="55"/>
  <c r="N17" i="55" s="1"/>
  <c r="K17" i="55"/>
  <c r="L17" i="55" s="1"/>
  <c r="M17" i="54"/>
  <c r="N17" i="54" s="1"/>
  <c r="K17" i="54"/>
  <c r="L17" i="54" s="1"/>
  <c r="M19" i="49"/>
  <c r="N19" i="49" s="1"/>
  <c r="K19" i="49"/>
  <c r="L19" i="49" s="1"/>
  <c r="M20" i="48"/>
  <c r="N20" i="48" s="1"/>
  <c r="K20" i="48"/>
  <c r="L20" i="48" s="1"/>
  <c r="M19" i="47"/>
  <c r="N19" i="47" s="1"/>
  <c r="K19" i="47"/>
  <c r="L19" i="47" s="1"/>
  <c r="M21" i="46"/>
  <c r="N21" i="46" s="1"/>
  <c r="K21" i="46"/>
  <c r="L21" i="46" s="1"/>
  <c r="M22" i="45"/>
  <c r="N22" i="45" s="1"/>
  <c r="K22" i="45"/>
  <c r="L22" i="45" s="1"/>
  <c r="M22" i="44"/>
  <c r="N22" i="44" s="1"/>
  <c r="K22" i="44"/>
  <c r="L22" i="44" s="1"/>
  <c r="M23" i="43"/>
  <c r="N23" i="43" s="1"/>
  <c r="O23" i="43" s="1"/>
  <c r="K23" i="43"/>
  <c r="L23" i="43" s="1"/>
  <c r="M23" i="42"/>
  <c r="N23" i="42" s="1"/>
  <c r="K23" i="42"/>
  <c r="L23" i="42" s="1"/>
  <c r="M23" i="41"/>
  <c r="N23" i="41" s="1"/>
  <c r="O23" i="41" s="1"/>
  <c r="K23" i="41"/>
  <c r="L23" i="41" s="1"/>
  <c r="M23" i="40"/>
  <c r="N23" i="40" s="1"/>
  <c r="K23" i="40"/>
  <c r="L23" i="40" s="1"/>
  <c r="M24" i="39"/>
  <c r="N24" i="39" s="1"/>
  <c r="K24" i="39"/>
  <c r="L24" i="39" s="1"/>
  <c r="M24" i="38"/>
  <c r="N24" i="38" s="1"/>
  <c r="O24" i="38" s="1"/>
  <c r="K24" i="38"/>
  <c r="L24" i="38" s="1"/>
  <c r="M24" i="37"/>
  <c r="N24" i="37" s="1"/>
  <c r="K24" i="37"/>
  <c r="L24" i="37" s="1"/>
  <c r="M27" i="31"/>
  <c r="N27" i="31" s="1"/>
  <c r="K27" i="31"/>
  <c r="L27" i="31" s="1"/>
  <c r="M26" i="30"/>
  <c r="N26" i="30" s="1"/>
  <c r="K26" i="30"/>
  <c r="L26" i="30" s="1"/>
  <c r="M27" i="29"/>
  <c r="N27" i="29" s="1"/>
  <c r="O27" i="29" s="1"/>
  <c r="K27" i="29"/>
  <c r="L27" i="29" s="1"/>
  <c r="M27" i="28"/>
  <c r="N27" i="28" s="1"/>
  <c r="K27" i="28"/>
  <c r="L27" i="28" s="1"/>
  <c r="M28" i="27"/>
  <c r="N28" i="27" s="1"/>
  <c r="K28" i="27"/>
  <c r="L28" i="27" s="1"/>
  <c r="M31" i="25"/>
  <c r="N31" i="25" s="1"/>
  <c r="K31" i="25"/>
  <c r="L31" i="25" s="1"/>
  <c r="M30" i="23"/>
  <c r="N30" i="23" s="1"/>
  <c r="L30" i="23"/>
  <c r="K30" i="23"/>
  <c r="M31" i="22"/>
  <c r="N31" i="22" s="1"/>
  <c r="K31" i="22"/>
  <c r="L31" i="22" s="1"/>
  <c r="M34" i="11"/>
  <c r="N34" i="11" s="1"/>
  <c r="K34" i="11"/>
  <c r="L34" i="11" s="1"/>
  <c r="M35" i="10"/>
  <c r="N35" i="10" s="1"/>
  <c r="K35" i="10"/>
  <c r="L35" i="10" s="1"/>
  <c r="M34" i="9"/>
  <c r="N34" i="9" s="1"/>
  <c r="O34" i="9" s="1"/>
  <c r="K34" i="9"/>
  <c r="L34" i="9" s="1"/>
  <c r="M33" i="8"/>
  <c r="N33" i="8" s="1"/>
  <c r="K33" i="8"/>
  <c r="L33" i="8" s="1"/>
  <c r="M35" i="7"/>
  <c r="N35" i="7" s="1"/>
  <c r="O35" i="7" s="1"/>
  <c r="K35" i="7"/>
  <c r="L35" i="7" s="1"/>
  <c r="N33" i="6"/>
  <c r="O33" i="6" s="1"/>
  <c r="M33" i="6"/>
  <c r="L33" i="6"/>
  <c r="K33" i="6"/>
  <c r="M32" i="5"/>
  <c r="N32" i="5" s="1"/>
  <c r="K32" i="5"/>
  <c r="L32" i="5" s="1"/>
  <c r="M32" i="4"/>
  <c r="N32" i="4" s="1"/>
  <c r="K32" i="4"/>
  <c r="L32" i="4" s="1"/>
  <c r="M32" i="3"/>
  <c r="N32" i="3" s="1"/>
  <c r="O32" i="3" s="1"/>
  <c r="K32" i="3"/>
  <c r="L32" i="3" s="1"/>
  <c r="P83" i="55"/>
  <c r="P83" i="54"/>
  <c r="D89" i="55"/>
  <c r="D8" i="55"/>
  <c r="D90" i="55" s="1"/>
  <c r="D89" i="54"/>
  <c r="P154" i="55"/>
  <c r="O154" i="55"/>
  <c r="M154" i="55"/>
  <c r="J154" i="55"/>
  <c r="P153" i="55"/>
  <c r="O153" i="55"/>
  <c r="M153" i="55"/>
  <c r="J153" i="55"/>
  <c r="P152" i="55"/>
  <c r="O152" i="55"/>
  <c r="M152" i="55"/>
  <c r="J152" i="55"/>
  <c r="P151" i="55"/>
  <c r="O151" i="55"/>
  <c r="M151" i="55"/>
  <c r="J151" i="55"/>
  <c r="P150" i="55"/>
  <c r="O150" i="55"/>
  <c r="M150" i="55"/>
  <c r="J150" i="55"/>
  <c r="P149" i="55"/>
  <c r="O149" i="55"/>
  <c r="M149" i="55"/>
  <c r="J149" i="55"/>
  <c r="P148" i="55"/>
  <c r="O148" i="55"/>
  <c r="M148" i="55"/>
  <c r="J148" i="55"/>
  <c r="P147" i="55"/>
  <c r="O147" i="55"/>
  <c r="M147" i="55"/>
  <c r="J147" i="55"/>
  <c r="P146" i="55"/>
  <c r="O146" i="55"/>
  <c r="M146" i="55"/>
  <c r="J146" i="55"/>
  <c r="P145" i="55"/>
  <c r="O145" i="55"/>
  <c r="M145" i="55"/>
  <c r="J145" i="55"/>
  <c r="P144" i="55"/>
  <c r="O144" i="55"/>
  <c r="M144" i="55"/>
  <c r="J144" i="55"/>
  <c r="P143" i="55"/>
  <c r="O143" i="55"/>
  <c r="M143" i="55"/>
  <c r="J143" i="55"/>
  <c r="P142" i="55"/>
  <c r="O142" i="55"/>
  <c r="M142" i="55"/>
  <c r="J142" i="55"/>
  <c r="P141" i="55"/>
  <c r="O141" i="55"/>
  <c r="M141" i="55"/>
  <c r="J141" i="55"/>
  <c r="P140" i="55"/>
  <c r="O140" i="55"/>
  <c r="M140" i="55"/>
  <c r="J140" i="55"/>
  <c r="P139" i="55"/>
  <c r="O139" i="55"/>
  <c r="M139" i="55"/>
  <c r="J139" i="55"/>
  <c r="P138" i="55"/>
  <c r="O138" i="55"/>
  <c r="M138" i="55"/>
  <c r="J138" i="55"/>
  <c r="P137" i="55"/>
  <c r="O137" i="55"/>
  <c r="M137" i="55"/>
  <c r="J137" i="55"/>
  <c r="P136" i="55"/>
  <c r="O136" i="55"/>
  <c r="M136" i="55"/>
  <c r="J136" i="55"/>
  <c r="P135" i="55"/>
  <c r="O135" i="55"/>
  <c r="M135" i="55"/>
  <c r="J135" i="55"/>
  <c r="P134" i="55"/>
  <c r="O134" i="55"/>
  <c r="M134" i="55"/>
  <c r="J134" i="55"/>
  <c r="P133" i="55"/>
  <c r="O133" i="55"/>
  <c r="M133" i="55"/>
  <c r="J133" i="55"/>
  <c r="P132" i="55"/>
  <c r="O132" i="55"/>
  <c r="M132" i="55"/>
  <c r="J132" i="55"/>
  <c r="P131" i="55"/>
  <c r="O131" i="55"/>
  <c r="M131" i="55"/>
  <c r="J131" i="55"/>
  <c r="O130" i="55"/>
  <c r="M130" i="55"/>
  <c r="O129" i="55"/>
  <c r="M129" i="55"/>
  <c r="O128" i="55"/>
  <c r="M128" i="55"/>
  <c r="O127" i="55"/>
  <c r="M127" i="55"/>
  <c r="O126" i="55"/>
  <c r="M126" i="55"/>
  <c r="O125" i="55"/>
  <c r="M125" i="55"/>
  <c r="O124" i="55"/>
  <c r="M124" i="55"/>
  <c r="O123" i="55"/>
  <c r="M123" i="55"/>
  <c r="O122" i="55"/>
  <c r="M122" i="55"/>
  <c r="O121" i="55"/>
  <c r="M121" i="55"/>
  <c r="O120" i="55"/>
  <c r="M120" i="55"/>
  <c r="O119" i="55"/>
  <c r="M119" i="55"/>
  <c r="O118" i="55"/>
  <c r="M118" i="55"/>
  <c r="O117" i="55"/>
  <c r="M117" i="55"/>
  <c r="O116" i="55"/>
  <c r="M116" i="55"/>
  <c r="O115" i="55"/>
  <c r="M115" i="55"/>
  <c r="O114" i="55"/>
  <c r="M114" i="55"/>
  <c r="O113" i="55"/>
  <c r="M113" i="55"/>
  <c r="O112" i="55"/>
  <c r="M112" i="55"/>
  <c r="O111" i="55"/>
  <c r="M111" i="55"/>
  <c r="O110" i="55"/>
  <c r="M110" i="55"/>
  <c r="O109" i="55"/>
  <c r="M109" i="55"/>
  <c r="O108" i="55"/>
  <c r="M108" i="55"/>
  <c r="C99" i="55"/>
  <c r="D96" i="55"/>
  <c r="L93" i="55"/>
  <c r="J93" i="55"/>
  <c r="D91" i="55"/>
  <c r="N72" i="55"/>
  <c r="L72" i="55"/>
  <c r="N71" i="55"/>
  <c r="L71" i="55"/>
  <c r="N70" i="55"/>
  <c r="L70" i="55"/>
  <c r="N69" i="55"/>
  <c r="L69" i="55"/>
  <c r="N68" i="55"/>
  <c r="L68" i="55"/>
  <c r="N67" i="55"/>
  <c r="L67" i="55"/>
  <c r="N66" i="55"/>
  <c r="L66" i="55"/>
  <c r="N65" i="55"/>
  <c r="L65" i="55"/>
  <c r="N64" i="55"/>
  <c r="L64" i="55"/>
  <c r="N63" i="55"/>
  <c r="L63" i="55"/>
  <c r="N62" i="55"/>
  <c r="L62" i="55"/>
  <c r="N61" i="55"/>
  <c r="L61" i="55"/>
  <c r="N60" i="55"/>
  <c r="L60" i="55"/>
  <c r="N59" i="55"/>
  <c r="L59" i="55"/>
  <c r="N58" i="55"/>
  <c r="L58" i="55"/>
  <c r="N57" i="55"/>
  <c r="L57" i="55"/>
  <c r="N56" i="55"/>
  <c r="L56" i="55"/>
  <c r="N55" i="55"/>
  <c r="L55" i="55"/>
  <c r="N54" i="55"/>
  <c r="L54" i="55"/>
  <c r="N53" i="55"/>
  <c r="L53" i="55"/>
  <c r="N52" i="55"/>
  <c r="L52" i="55"/>
  <c r="N51" i="55"/>
  <c r="L51" i="55"/>
  <c r="N50" i="55"/>
  <c r="L50" i="55"/>
  <c r="N49" i="55"/>
  <c r="L49" i="55"/>
  <c r="N48" i="55"/>
  <c r="L48" i="55"/>
  <c r="N47" i="55"/>
  <c r="L47" i="55"/>
  <c r="N46" i="55"/>
  <c r="L46" i="55"/>
  <c r="N45" i="55"/>
  <c r="L45" i="55"/>
  <c r="N44" i="55"/>
  <c r="L44" i="55"/>
  <c r="N43" i="55"/>
  <c r="L43" i="55"/>
  <c r="N42" i="55"/>
  <c r="L42" i="55"/>
  <c r="N41" i="55"/>
  <c r="L41" i="55"/>
  <c r="N40" i="55"/>
  <c r="L40" i="55"/>
  <c r="N39" i="55"/>
  <c r="L39" i="55"/>
  <c r="N38" i="55"/>
  <c r="L38" i="55"/>
  <c r="N37" i="55"/>
  <c r="L37" i="55"/>
  <c r="N36" i="55"/>
  <c r="L36" i="55"/>
  <c r="N35" i="55"/>
  <c r="L35" i="55"/>
  <c r="N34" i="55"/>
  <c r="L34" i="55"/>
  <c r="N33" i="55"/>
  <c r="L33" i="55"/>
  <c r="N32" i="55"/>
  <c r="L32" i="55"/>
  <c r="N31" i="55"/>
  <c r="L31" i="55"/>
  <c r="N30" i="55"/>
  <c r="L30" i="55"/>
  <c r="N29" i="55"/>
  <c r="L29" i="55"/>
  <c r="N28" i="55"/>
  <c r="L28" i="55"/>
  <c r="N27" i="55"/>
  <c r="L27" i="55"/>
  <c r="N26" i="55"/>
  <c r="L26" i="55"/>
  <c r="N25" i="55"/>
  <c r="L25" i="55"/>
  <c r="N24" i="55"/>
  <c r="L24" i="55"/>
  <c r="N23" i="55"/>
  <c r="L23" i="55"/>
  <c r="N22" i="55"/>
  <c r="L22" i="55"/>
  <c r="N21" i="55"/>
  <c r="L21" i="55"/>
  <c r="N20" i="55"/>
  <c r="L20" i="55"/>
  <c r="N19" i="55"/>
  <c r="L19" i="55"/>
  <c r="C17" i="55"/>
  <c r="K11" i="55"/>
  <c r="I11" i="55"/>
  <c r="P154" i="54"/>
  <c r="O154" i="54"/>
  <c r="M154" i="54"/>
  <c r="J154" i="54"/>
  <c r="P153" i="54"/>
  <c r="O153" i="54"/>
  <c r="M153" i="54"/>
  <c r="J153" i="54"/>
  <c r="P152" i="54"/>
  <c r="O152" i="54"/>
  <c r="M152" i="54"/>
  <c r="J152" i="54"/>
  <c r="P151" i="54"/>
  <c r="O151" i="54"/>
  <c r="M151" i="54"/>
  <c r="J151" i="54"/>
  <c r="P150" i="54"/>
  <c r="O150" i="54"/>
  <c r="M150" i="54"/>
  <c r="J150" i="54"/>
  <c r="P149" i="54"/>
  <c r="O149" i="54"/>
  <c r="M149" i="54"/>
  <c r="J149" i="54"/>
  <c r="P148" i="54"/>
  <c r="O148" i="54"/>
  <c r="M148" i="54"/>
  <c r="J148" i="54"/>
  <c r="P147" i="54"/>
  <c r="O147" i="54"/>
  <c r="M147" i="54"/>
  <c r="J147" i="54"/>
  <c r="P146" i="54"/>
  <c r="O146" i="54"/>
  <c r="M146" i="54"/>
  <c r="J146" i="54"/>
  <c r="P145" i="54"/>
  <c r="O145" i="54"/>
  <c r="M145" i="54"/>
  <c r="J145" i="54"/>
  <c r="P144" i="54"/>
  <c r="O144" i="54"/>
  <c r="M144" i="54"/>
  <c r="J144" i="54"/>
  <c r="P143" i="54"/>
  <c r="O143" i="54"/>
  <c r="M143" i="54"/>
  <c r="J143" i="54"/>
  <c r="P142" i="54"/>
  <c r="O142" i="54"/>
  <c r="M142" i="54"/>
  <c r="J142" i="54"/>
  <c r="P141" i="54"/>
  <c r="O141" i="54"/>
  <c r="M141" i="54"/>
  <c r="J141" i="54"/>
  <c r="P140" i="54"/>
  <c r="O140" i="54"/>
  <c r="M140" i="54"/>
  <c r="J140" i="54"/>
  <c r="P139" i="54"/>
  <c r="O139" i="54"/>
  <c r="M139" i="54"/>
  <c r="J139" i="54"/>
  <c r="P138" i="54"/>
  <c r="O138" i="54"/>
  <c r="M138" i="54"/>
  <c r="J138" i="54"/>
  <c r="P137" i="54"/>
  <c r="O137" i="54"/>
  <c r="M137" i="54"/>
  <c r="J137" i="54"/>
  <c r="P136" i="54"/>
  <c r="O136" i="54"/>
  <c r="M136" i="54"/>
  <c r="J136" i="54"/>
  <c r="P135" i="54"/>
  <c r="O135" i="54"/>
  <c r="M135" i="54"/>
  <c r="J135" i="54"/>
  <c r="P134" i="54"/>
  <c r="O134" i="54"/>
  <c r="M134" i="54"/>
  <c r="J134" i="54"/>
  <c r="P133" i="54"/>
  <c r="O133" i="54"/>
  <c r="M133" i="54"/>
  <c r="J133" i="54"/>
  <c r="P132" i="54"/>
  <c r="O132" i="54"/>
  <c r="M132" i="54"/>
  <c r="J132" i="54"/>
  <c r="P131" i="54"/>
  <c r="O131" i="54"/>
  <c r="M131" i="54"/>
  <c r="J131" i="54"/>
  <c r="O130" i="54"/>
  <c r="M130" i="54"/>
  <c r="O129" i="54"/>
  <c r="M129" i="54"/>
  <c r="O128" i="54"/>
  <c r="M128" i="54"/>
  <c r="O127" i="54"/>
  <c r="M127" i="54"/>
  <c r="O126" i="54"/>
  <c r="M126" i="54"/>
  <c r="O125" i="54"/>
  <c r="M125" i="54"/>
  <c r="O124" i="54"/>
  <c r="M124" i="54"/>
  <c r="O123" i="54"/>
  <c r="M123" i="54"/>
  <c r="O122" i="54"/>
  <c r="M122" i="54"/>
  <c r="O121" i="54"/>
  <c r="M121" i="54"/>
  <c r="O120" i="54"/>
  <c r="M120" i="54"/>
  <c r="O119" i="54"/>
  <c r="M119" i="54"/>
  <c r="O118" i="54"/>
  <c r="M118" i="54"/>
  <c r="O117" i="54"/>
  <c r="M117" i="54"/>
  <c r="O116" i="54"/>
  <c r="M116" i="54"/>
  <c r="O115" i="54"/>
  <c r="M115" i="54"/>
  <c r="O114" i="54"/>
  <c r="M114" i="54"/>
  <c r="O113" i="54"/>
  <c r="M113" i="54"/>
  <c r="O112" i="54"/>
  <c r="M112" i="54"/>
  <c r="O111" i="54"/>
  <c r="M111" i="54"/>
  <c r="O110" i="54"/>
  <c r="M110" i="54"/>
  <c r="O109" i="54"/>
  <c r="M109" i="54"/>
  <c r="O108" i="54"/>
  <c r="M108" i="54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D96" i="54"/>
  <c r="L93" i="54"/>
  <c r="J93" i="54"/>
  <c r="D91" i="54"/>
  <c r="N72" i="54"/>
  <c r="L72" i="54"/>
  <c r="N71" i="54"/>
  <c r="L71" i="54"/>
  <c r="N70" i="54"/>
  <c r="L70" i="54"/>
  <c r="N69" i="54"/>
  <c r="L69" i="54"/>
  <c r="N68" i="54"/>
  <c r="L68" i="54"/>
  <c r="N67" i="54"/>
  <c r="L67" i="54"/>
  <c r="N66" i="54"/>
  <c r="L66" i="54"/>
  <c r="N65" i="54"/>
  <c r="L65" i="54"/>
  <c r="N64" i="54"/>
  <c r="L64" i="54"/>
  <c r="N63" i="54"/>
  <c r="L63" i="54"/>
  <c r="N62" i="54"/>
  <c r="L62" i="54"/>
  <c r="N61" i="54"/>
  <c r="L61" i="54"/>
  <c r="N60" i="54"/>
  <c r="L60" i="54"/>
  <c r="N59" i="54"/>
  <c r="L59" i="54"/>
  <c r="N58" i="54"/>
  <c r="L58" i="54"/>
  <c r="N57" i="54"/>
  <c r="L57" i="54"/>
  <c r="N56" i="54"/>
  <c r="L56" i="54"/>
  <c r="N55" i="54"/>
  <c r="L55" i="54"/>
  <c r="N54" i="54"/>
  <c r="L54" i="54"/>
  <c r="N53" i="54"/>
  <c r="L53" i="54"/>
  <c r="N52" i="54"/>
  <c r="L52" i="54"/>
  <c r="N51" i="54"/>
  <c r="L51" i="54"/>
  <c r="N50" i="54"/>
  <c r="L50" i="54"/>
  <c r="N49" i="54"/>
  <c r="L49" i="54"/>
  <c r="N48" i="54"/>
  <c r="L48" i="54"/>
  <c r="N47" i="54"/>
  <c r="L47" i="54"/>
  <c r="N46" i="54"/>
  <c r="L46" i="54"/>
  <c r="N45" i="54"/>
  <c r="L45" i="54"/>
  <c r="N44" i="54"/>
  <c r="L44" i="54"/>
  <c r="N43" i="54"/>
  <c r="L43" i="54"/>
  <c r="N42" i="54"/>
  <c r="L42" i="54"/>
  <c r="N41" i="54"/>
  <c r="L41" i="54"/>
  <c r="N40" i="54"/>
  <c r="L40" i="54"/>
  <c r="N39" i="54"/>
  <c r="L39" i="54"/>
  <c r="N38" i="54"/>
  <c r="L38" i="54"/>
  <c r="N37" i="54"/>
  <c r="L37" i="54"/>
  <c r="N36" i="54"/>
  <c r="L36" i="54"/>
  <c r="N35" i="54"/>
  <c r="L35" i="54"/>
  <c r="N34" i="54"/>
  <c r="L34" i="54"/>
  <c r="N33" i="54"/>
  <c r="L33" i="54"/>
  <c r="N32" i="54"/>
  <c r="L32" i="54"/>
  <c r="N31" i="54"/>
  <c r="L31" i="54"/>
  <c r="N30" i="54"/>
  <c r="L30" i="54"/>
  <c r="N29" i="54"/>
  <c r="L29" i="54"/>
  <c r="N28" i="54"/>
  <c r="L28" i="54"/>
  <c r="N27" i="54"/>
  <c r="L27" i="54"/>
  <c r="N26" i="54"/>
  <c r="L26" i="54"/>
  <c r="N25" i="54"/>
  <c r="L25" i="54"/>
  <c r="N24" i="54"/>
  <c r="L24" i="54"/>
  <c r="N23" i="54"/>
  <c r="L23" i="54"/>
  <c r="N22" i="54"/>
  <c r="L22" i="54"/>
  <c r="N21" i="54"/>
  <c r="L21" i="54"/>
  <c r="N20" i="54"/>
  <c r="L20" i="54"/>
  <c r="N19" i="54"/>
  <c r="L19" i="54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K11" i="54"/>
  <c r="I11" i="54"/>
  <c r="D8" i="54"/>
  <c r="D90" i="54" s="1"/>
  <c r="P50" i="17"/>
  <c r="L50" i="17"/>
  <c r="P49" i="17"/>
  <c r="L49" i="17"/>
  <c r="O32" i="4" l="1"/>
  <c r="O21" i="46"/>
  <c r="O24" i="37"/>
  <c r="O34" i="11"/>
  <c r="O31" i="25"/>
  <c r="O33" i="8"/>
  <c r="O30" i="23"/>
  <c r="O20" i="48"/>
  <c r="V50" i="17"/>
  <c r="O19" i="47"/>
  <c r="F46" i="56"/>
  <c r="B46" i="56"/>
  <c r="O17" i="55"/>
  <c r="O17" i="54"/>
  <c r="O19" i="49"/>
  <c r="O22" i="45"/>
  <c r="O22" i="44"/>
  <c r="O23" i="42"/>
  <c r="O23" i="40"/>
  <c r="O24" i="39"/>
  <c r="O27" i="31"/>
  <c r="O26" i="30"/>
  <c r="O27" i="28"/>
  <c r="O28" i="27"/>
  <c r="O31" i="22"/>
  <c r="O35" i="10"/>
  <c r="O32" i="5"/>
  <c r="V49" i="17"/>
  <c r="P118" i="54"/>
  <c r="P122" i="54"/>
  <c r="P126" i="54"/>
  <c r="P130" i="54"/>
  <c r="O50" i="54"/>
  <c r="O54" i="54"/>
  <c r="O22" i="54"/>
  <c r="O38" i="55"/>
  <c r="O62" i="55"/>
  <c r="O70" i="55"/>
  <c r="O48" i="54"/>
  <c r="O21" i="55"/>
  <c r="O25" i="55"/>
  <c r="O29" i="55"/>
  <c r="O33" i="55"/>
  <c r="O37" i="55"/>
  <c r="O45" i="55"/>
  <c r="O49" i="55"/>
  <c r="O57" i="55"/>
  <c r="O61" i="55"/>
  <c r="O65" i="55"/>
  <c r="O23" i="54"/>
  <c r="O51" i="54"/>
  <c r="O59" i="54"/>
  <c r="O55" i="55"/>
  <c r="O67" i="55"/>
  <c r="O71" i="55"/>
  <c r="P109" i="55"/>
  <c r="P129" i="55"/>
  <c r="P113" i="54"/>
  <c r="P114" i="54"/>
  <c r="P117" i="55"/>
  <c r="P113" i="55"/>
  <c r="P121" i="55"/>
  <c r="O20" i="55"/>
  <c r="O40" i="55"/>
  <c r="O44" i="55"/>
  <c r="O48" i="55"/>
  <c r="O56" i="55"/>
  <c r="O64" i="55"/>
  <c r="P108" i="55"/>
  <c r="P128" i="55"/>
  <c r="O42" i="55"/>
  <c r="O39" i="55"/>
  <c r="O63" i="55"/>
  <c r="O34" i="55"/>
  <c r="O46" i="55"/>
  <c r="O50" i="55"/>
  <c r="O54" i="55"/>
  <c r="O58" i="55"/>
  <c r="P110" i="55"/>
  <c r="P114" i="55"/>
  <c r="P125" i="55"/>
  <c r="P122" i="55"/>
  <c r="P115" i="55"/>
  <c r="O26" i="55"/>
  <c r="O41" i="55"/>
  <c r="O23" i="55"/>
  <c r="O31" i="55"/>
  <c r="P111" i="55"/>
  <c r="P118" i="55"/>
  <c r="O24" i="55"/>
  <c r="O35" i="55"/>
  <c r="O53" i="55"/>
  <c r="O66" i="55"/>
  <c r="P112" i="55"/>
  <c r="P119" i="55"/>
  <c r="P126" i="55"/>
  <c r="O28" i="55"/>
  <c r="O32" i="55"/>
  <c r="P116" i="55"/>
  <c r="P123" i="55"/>
  <c r="P130" i="55"/>
  <c r="P120" i="55"/>
  <c r="P127" i="55"/>
  <c r="P124" i="55"/>
  <c r="O22" i="55"/>
  <c r="O30" i="55"/>
  <c r="O72" i="55"/>
  <c r="O29" i="54"/>
  <c r="O33" i="54"/>
  <c r="O37" i="54"/>
  <c r="O26" i="54"/>
  <c r="O46" i="54"/>
  <c r="O27" i="54"/>
  <c r="O39" i="54"/>
  <c r="O67" i="54"/>
  <c r="P119" i="54"/>
  <c r="P123" i="54"/>
  <c r="P127" i="54"/>
  <c r="O28" i="54"/>
  <c r="O36" i="54"/>
  <c r="O40" i="54"/>
  <c r="O56" i="54"/>
  <c r="O72" i="54"/>
  <c r="P125" i="54"/>
  <c r="P129" i="54"/>
  <c r="O20" i="54"/>
  <c r="O31" i="54"/>
  <c r="O35" i="54"/>
  <c r="O43" i="54"/>
  <c r="O47" i="54"/>
  <c r="O55" i="54"/>
  <c r="O62" i="54"/>
  <c r="O66" i="54"/>
  <c r="P111" i="54"/>
  <c r="O63" i="54"/>
  <c r="O71" i="54"/>
  <c r="P108" i="54"/>
  <c r="P112" i="54"/>
  <c r="O21" i="54"/>
  <c r="O64" i="54"/>
  <c r="O68" i="54"/>
  <c r="P116" i="54"/>
  <c r="P120" i="54"/>
  <c r="P124" i="54"/>
  <c r="P128" i="54"/>
  <c r="O19" i="54"/>
  <c r="O30" i="54"/>
  <c r="O34" i="54"/>
  <c r="O69" i="54"/>
  <c r="P110" i="54"/>
  <c r="O41" i="54"/>
  <c r="P117" i="54"/>
  <c r="P121" i="54"/>
  <c r="O24" i="54"/>
  <c r="O38" i="54"/>
  <c r="O42" i="54"/>
  <c r="O49" i="54"/>
  <c r="O70" i="54"/>
  <c r="P115" i="54"/>
  <c r="O52" i="54"/>
  <c r="P109" i="54"/>
  <c r="O25" i="54"/>
  <c r="O61" i="54"/>
  <c r="O58" i="54"/>
  <c r="O65" i="54"/>
  <c r="O27" i="55"/>
  <c r="O19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O47" i="55"/>
  <c r="O43" i="55"/>
  <c r="O60" i="55"/>
  <c r="O36" i="55"/>
  <c r="O59" i="55"/>
  <c r="O52" i="55"/>
  <c r="O51" i="55"/>
  <c r="O68" i="55"/>
  <c r="O69" i="55"/>
  <c r="C100" i="55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45" i="54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O57" i="54"/>
  <c r="O60" i="54"/>
  <c r="O32" i="54"/>
  <c r="C127" i="54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O53" i="54"/>
  <c r="O44" i="54"/>
  <c r="O45" i="54"/>
  <c r="D47" i="56" l="1"/>
  <c r="E47" i="56" s="1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27" i="55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B47" i="56" l="1"/>
  <c r="F47" i="56"/>
  <c r="B18" i="55"/>
  <c r="D48" i="56" l="1"/>
  <c r="B48" i="56" l="1"/>
  <c r="E48" i="56"/>
  <c r="F48" i="56" s="1"/>
  <c r="D49" i="56" l="1"/>
  <c r="B49" i="56" l="1"/>
  <c r="E49" i="56"/>
  <c r="F49" i="56" s="1"/>
  <c r="D50" i="56" l="1"/>
  <c r="E50" i="56" s="1"/>
  <c r="B50" i="56" l="1"/>
  <c r="F50" i="56"/>
  <c r="D51" i="56" l="1"/>
  <c r="E51" i="56" s="1"/>
  <c r="F51" i="56" l="1"/>
  <c r="B51" i="56"/>
  <c r="M18" i="49"/>
  <c r="N18" i="49" s="1"/>
  <c r="K18" i="49"/>
  <c r="L18" i="49" s="1"/>
  <c r="N100" i="48"/>
  <c r="O100" i="48" s="1"/>
  <c r="L100" i="48"/>
  <c r="M100" i="48" s="1"/>
  <c r="M19" i="48"/>
  <c r="N19" i="48" s="1"/>
  <c r="K19" i="48"/>
  <c r="L19" i="48" s="1"/>
  <c r="M18" i="48"/>
  <c r="N18" i="48" s="1"/>
  <c r="K18" i="48"/>
  <c r="L18" i="48" s="1"/>
  <c r="N100" i="47"/>
  <c r="O100" i="47" s="1"/>
  <c r="L100" i="47"/>
  <c r="M100" i="47" s="1"/>
  <c r="M18" i="47"/>
  <c r="N18" i="47" s="1"/>
  <c r="K18" i="47"/>
  <c r="L18" i="47" s="1"/>
  <c r="N100" i="46"/>
  <c r="O100" i="46" s="1"/>
  <c r="L100" i="46"/>
  <c r="M100" i="46" s="1"/>
  <c r="M20" i="46"/>
  <c r="N20" i="46" s="1"/>
  <c r="K20" i="46"/>
  <c r="L20" i="46" s="1"/>
  <c r="N101" i="45"/>
  <c r="O101" i="45" s="1"/>
  <c r="L101" i="45"/>
  <c r="M101" i="45" s="1"/>
  <c r="M21" i="45"/>
  <c r="N21" i="45" s="1"/>
  <c r="K21" i="45"/>
  <c r="L21" i="45" s="1"/>
  <c r="N101" i="44"/>
  <c r="O101" i="44" s="1"/>
  <c r="L101" i="44"/>
  <c r="M101" i="44" s="1"/>
  <c r="M21" i="44"/>
  <c r="N21" i="44" s="1"/>
  <c r="K21" i="44"/>
  <c r="L21" i="44" s="1"/>
  <c r="N102" i="43"/>
  <c r="O102" i="43" s="1"/>
  <c r="L102" i="43"/>
  <c r="M102" i="43" s="1"/>
  <c r="M22" i="43"/>
  <c r="N22" i="43" s="1"/>
  <c r="K22" i="43"/>
  <c r="L22" i="43" s="1"/>
  <c r="N102" i="42"/>
  <c r="O102" i="42" s="1"/>
  <c r="L102" i="42"/>
  <c r="M102" i="42" s="1"/>
  <c r="M22" i="42"/>
  <c r="N22" i="42" s="1"/>
  <c r="K22" i="42"/>
  <c r="L22" i="42" s="1"/>
  <c r="N102" i="41"/>
  <c r="O102" i="41" s="1"/>
  <c r="L102" i="41"/>
  <c r="M102" i="41" s="1"/>
  <c r="M22" i="41"/>
  <c r="N22" i="41" s="1"/>
  <c r="K22" i="41"/>
  <c r="L22" i="41" s="1"/>
  <c r="N102" i="40"/>
  <c r="O102" i="40" s="1"/>
  <c r="L102" i="40"/>
  <c r="M102" i="40" s="1"/>
  <c r="M22" i="40"/>
  <c r="N22" i="40" s="1"/>
  <c r="K22" i="40"/>
  <c r="L22" i="40" s="1"/>
  <c r="N103" i="39"/>
  <c r="O103" i="39" s="1"/>
  <c r="L103" i="39"/>
  <c r="M103" i="39" s="1"/>
  <c r="M23" i="39"/>
  <c r="N23" i="39" s="1"/>
  <c r="K23" i="39"/>
  <c r="L23" i="39" s="1"/>
  <c r="P101" i="45" l="1"/>
  <c r="D52" i="56"/>
  <c r="E52" i="56" s="1"/>
  <c r="O23" i="39"/>
  <c r="O18" i="48"/>
  <c r="O20" i="46"/>
  <c r="O22" i="40"/>
  <c r="O21" i="44"/>
  <c r="O22" i="42"/>
  <c r="O21" i="45"/>
  <c r="P101" i="44"/>
  <c r="P102" i="42"/>
  <c r="O19" i="48"/>
  <c r="O22" i="41"/>
  <c r="O18" i="47"/>
  <c r="P102" i="41"/>
  <c r="O18" i="49"/>
  <c r="P100" i="47"/>
  <c r="P100" i="46"/>
  <c r="P102" i="40"/>
  <c r="P100" i="48"/>
  <c r="P102" i="43"/>
  <c r="O22" i="43"/>
  <c r="P103" i="39"/>
  <c r="N102" i="38"/>
  <c r="O102" i="38" s="1"/>
  <c r="L102" i="38"/>
  <c r="M102" i="38" s="1"/>
  <c r="M23" i="38"/>
  <c r="N23" i="38" s="1"/>
  <c r="K23" i="38"/>
  <c r="L23" i="38" s="1"/>
  <c r="N103" i="37"/>
  <c r="O103" i="37" s="1"/>
  <c r="L103" i="37"/>
  <c r="M103" i="37" s="1"/>
  <c r="M23" i="37"/>
  <c r="N23" i="37" s="1"/>
  <c r="K23" i="37"/>
  <c r="L23" i="37" s="1"/>
  <c r="N106" i="31"/>
  <c r="O106" i="31" s="1"/>
  <c r="L106" i="31"/>
  <c r="M106" i="31" s="1"/>
  <c r="M26" i="31"/>
  <c r="N26" i="31" s="1"/>
  <c r="K26" i="31"/>
  <c r="L26" i="31" s="1"/>
  <c r="N105" i="30"/>
  <c r="O105" i="30" s="1"/>
  <c r="L105" i="30"/>
  <c r="M105" i="30" s="1"/>
  <c r="M25" i="30"/>
  <c r="N25" i="30" s="1"/>
  <c r="K25" i="30"/>
  <c r="L25" i="30" s="1"/>
  <c r="N106" i="29"/>
  <c r="O106" i="29" s="1"/>
  <c r="L106" i="29"/>
  <c r="M106" i="29" s="1"/>
  <c r="M26" i="29"/>
  <c r="N26" i="29" s="1"/>
  <c r="K26" i="29"/>
  <c r="L26" i="29" s="1"/>
  <c r="N106" i="28"/>
  <c r="O106" i="28" s="1"/>
  <c r="L106" i="28"/>
  <c r="M106" i="28" s="1"/>
  <c r="M26" i="28"/>
  <c r="N26" i="28" s="1"/>
  <c r="K26" i="28"/>
  <c r="L26" i="28" s="1"/>
  <c r="N107" i="27"/>
  <c r="O107" i="27" s="1"/>
  <c r="L107" i="27"/>
  <c r="M107" i="27" s="1"/>
  <c r="M27" i="27"/>
  <c r="N27" i="27" s="1"/>
  <c r="K27" i="27"/>
  <c r="L27" i="27" s="1"/>
  <c r="N110" i="25"/>
  <c r="O110" i="25" s="1"/>
  <c r="L110" i="25"/>
  <c r="M110" i="25" s="1"/>
  <c r="M30" i="25"/>
  <c r="N30" i="25" s="1"/>
  <c r="K30" i="25"/>
  <c r="L30" i="25" s="1"/>
  <c r="N108" i="24"/>
  <c r="O108" i="24" s="1"/>
  <c r="L108" i="24"/>
  <c r="M108" i="24" s="1"/>
  <c r="M28" i="24"/>
  <c r="N28" i="24" s="1"/>
  <c r="K28" i="24"/>
  <c r="L28" i="24" s="1"/>
  <c r="N109" i="23"/>
  <c r="O109" i="23" s="1"/>
  <c r="L109" i="23"/>
  <c r="M109" i="23" s="1"/>
  <c r="M29" i="23"/>
  <c r="N29" i="23" s="1"/>
  <c r="K29" i="23"/>
  <c r="L29" i="23" s="1"/>
  <c r="N110" i="22"/>
  <c r="O110" i="22" s="1"/>
  <c r="L110" i="22"/>
  <c r="M110" i="22" s="1"/>
  <c r="M30" i="22"/>
  <c r="N30" i="22" s="1"/>
  <c r="K30" i="22"/>
  <c r="L30" i="22" s="1"/>
  <c r="N113" i="11"/>
  <c r="O113" i="11" s="1"/>
  <c r="L113" i="11"/>
  <c r="M113" i="11" s="1"/>
  <c r="M33" i="11"/>
  <c r="N33" i="11" s="1"/>
  <c r="K33" i="11"/>
  <c r="L33" i="11" s="1"/>
  <c r="N114" i="10"/>
  <c r="O114" i="10" s="1"/>
  <c r="L114" i="10"/>
  <c r="M114" i="10" s="1"/>
  <c r="M34" i="10"/>
  <c r="N34" i="10" s="1"/>
  <c r="K34" i="10"/>
  <c r="L34" i="10" s="1"/>
  <c r="N113" i="9"/>
  <c r="O113" i="9" s="1"/>
  <c r="L113" i="9"/>
  <c r="M113" i="9" s="1"/>
  <c r="M33" i="9"/>
  <c r="N33" i="9" s="1"/>
  <c r="K33" i="9"/>
  <c r="L33" i="9" s="1"/>
  <c r="N112" i="8"/>
  <c r="O112" i="8" s="1"/>
  <c r="L112" i="8"/>
  <c r="M112" i="8" s="1"/>
  <c r="M32" i="8"/>
  <c r="N32" i="8" s="1"/>
  <c r="K32" i="8"/>
  <c r="L32" i="8" s="1"/>
  <c r="N114" i="7"/>
  <c r="O114" i="7" s="1"/>
  <c r="L114" i="7"/>
  <c r="M114" i="7" s="1"/>
  <c r="M34" i="7"/>
  <c r="N34" i="7" s="1"/>
  <c r="K34" i="7"/>
  <c r="L34" i="7" s="1"/>
  <c r="N112" i="6"/>
  <c r="O112" i="6" s="1"/>
  <c r="L112" i="6"/>
  <c r="M112" i="6" s="1"/>
  <c r="M32" i="6"/>
  <c r="N32" i="6" s="1"/>
  <c r="K32" i="6"/>
  <c r="L32" i="6" s="1"/>
  <c r="N111" i="5"/>
  <c r="O111" i="5" s="1"/>
  <c r="L111" i="5"/>
  <c r="M111" i="5" s="1"/>
  <c r="M31" i="5"/>
  <c r="N31" i="5" s="1"/>
  <c r="K31" i="5"/>
  <c r="L31" i="5" s="1"/>
  <c r="N111" i="4"/>
  <c r="O111" i="4" s="1"/>
  <c r="L111" i="4"/>
  <c r="M111" i="4" s="1"/>
  <c r="M31" i="4"/>
  <c r="N31" i="4" s="1"/>
  <c r="K31" i="4"/>
  <c r="L31" i="4" s="1"/>
  <c r="N111" i="3"/>
  <c r="O111" i="3" s="1"/>
  <c r="L111" i="3"/>
  <c r="M111" i="3" s="1"/>
  <c r="M31" i="3"/>
  <c r="N31" i="3" s="1"/>
  <c r="K31" i="3"/>
  <c r="L31" i="3" s="1"/>
  <c r="L99" i="47"/>
  <c r="N99" i="47"/>
  <c r="F52" i="56" l="1"/>
  <c r="B52" i="56"/>
  <c r="O31" i="3"/>
  <c r="O34" i="7"/>
  <c r="P112" i="6"/>
  <c r="O33" i="11"/>
  <c r="O31" i="5"/>
  <c r="P106" i="29"/>
  <c r="P111" i="3"/>
  <c r="O30" i="25"/>
  <c r="O27" i="27"/>
  <c r="P114" i="7"/>
  <c r="P113" i="11"/>
  <c r="P109" i="23"/>
  <c r="O32" i="6"/>
  <c r="P110" i="25"/>
  <c r="O30" i="22"/>
  <c r="O28" i="24"/>
  <c r="O26" i="29"/>
  <c r="O23" i="38"/>
  <c r="P102" i="38"/>
  <c r="P103" i="37"/>
  <c r="P107" i="27"/>
  <c r="P114" i="10"/>
  <c r="O23" i="37"/>
  <c r="P106" i="31"/>
  <c r="O26" i="31"/>
  <c r="O25" i="30"/>
  <c r="P106" i="28"/>
  <c r="O26" i="28"/>
  <c r="P108" i="24"/>
  <c r="O29" i="23"/>
  <c r="O34" i="10"/>
  <c r="P113" i="9"/>
  <c r="O33" i="9"/>
  <c r="P112" i="8"/>
  <c r="O32" i="8"/>
  <c r="P111" i="5"/>
  <c r="P111" i="4"/>
  <c r="O31" i="4"/>
  <c r="D53" i="56" l="1"/>
  <c r="E53" i="56" s="1"/>
  <c r="B53" i="56" l="1"/>
  <c r="F53" i="56"/>
  <c r="M19" i="46"/>
  <c r="K19" i="46"/>
  <c r="L19" i="46" s="1"/>
  <c r="M20" i="45"/>
  <c r="K20" i="45"/>
  <c r="L20" i="45" s="1"/>
  <c r="M20" i="44"/>
  <c r="K20" i="44"/>
  <c r="L20" i="44" s="1"/>
  <c r="M21" i="43"/>
  <c r="K21" i="43"/>
  <c r="L21" i="43" s="1"/>
  <c r="M21" i="42"/>
  <c r="K21" i="42"/>
  <c r="L21" i="42" s="1"/>
  <c r="M21" i="41"/>
  <c r="K21" i="41"/>
  <c r="L21" i="41" s="1"/>
  <c r="M21" i="40"/>
  <c r="K21" i="40"/>
  <c r="L21" i="40" s="1"/>
  <c r="M22" i="39"/>
  <c r="K22" i="39"/>
  <c r="L22" i="39" s="1"/>
  <c r="M22" i="38"/>
  <c r="K22" i="38"/>
  <c r="L22" i="38" s="1"/>
  <c r="M22" i="37"/>
  <c r="K22" i="37"/>
  <c r="L22" i="37" s="1"/>
  <c r="M25" i="31"/>
  <c r="K25" i="31"/>
  <c r="L25" i="31" s="1"/>
  <c r="M24" i="30"/>
  <c r="K24" i="30"/>
  <c r="L24" i="30" s="1"/>
  <c r="M25" i="29"/>
  <c r="K25" i="29"/>
  <c r="L25" i="29" s="1"/>
  <c r="M25" i="28"/>
  <c r="K25" i="28"/>
  <c r="L25" i="28" s="1"/>
  <c r="M26" i="27"/>
  <c r="K26" i="27"/>
  <c r="L26" i="27" s="1"/>
  <c r="M29" i="25"/>
  <c r="K29" i="25"/>
  <c r="L29" i="25" s="1"/>
  <c r="M27" i="24"/>
  <c r="K27" i="24"/>
  <c r="L27" i="24" s="1"/>
  <c r="M28" i="23"/>
  <c r="K28" i="23"/>
  <c r="L28" i="23" s="1"/>
  <c r="M29" i="22"/>
  <c r="K29" i="22"/>
  <c r="L29" i="22" s="1"/>
  <c r="M32" i="11"/>
  <c r="K32" i="11"/>
  <c r="L32" i="11" s="1"/>
  <c r="M33" i="10"/>
  <c r="K33" i="10"/>
  <c r="L33" i="10" s="1"/>
  <c r="M32" i="9"/>
  <c r="K32" i="9"/>
  <c r="L32" i="9" s="1"/>
  <c r="M31" i="8"/>
  <c r="K31" i="8"/>
  <c r="L31" i="8" s="1"/>
  <c r="M33" i="7"/>
  <c r="K33" i="7"/>
  <c r="L33" i="7" s="1"/>
  <c r="M31" i="6"/>
  <c r="K31" i="6"/>
  <c r="L31" i="6" s="1"/>
  <c r="M30" i="5"/>
  <c r="K30" i="5"/>
  <c r="L30" i="5" s="1"/>
  <c r="M30" i="4"/>
  <c r="K30" i="4"/>
  <c r="L30" i="4" s="1"/>
  <c r="M30" i="3"/>
  <c r="K30" i="3"/>
  <c r="L30" i="3" s="1"/>
  <c r="M28" i="22"/>
  <c r="K28" i="22"/>
  <c r="L28" i="22" s="1"/>
  <c r="D54" i="56" l="1"/>
  <c r="E54" i="56" s="1"/>
  <c r="M28" i="25"/>
  <c r="K28" i="25"/>
  <c r="L28" i="25" s="1"/>
  <c r="M26" i="24"/>
  <c r="K26" i="24"/>
  <c r="L26" i="24" s="1"/>
  <c r="M27" i="23"/>
  <c r="K27" i="23"/>
  <c r="L27" i="23" s="1"/>
  <c r="F54" i="56" l="1"/>
  <c r="B54" i="56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N109" i="25"/>
  <c r="O109" i="25" s="1"/>
  <c r="L109" i="25"/>
  <c r="M109" i="25" s="1"/>
  <c r="N108" i="25"/>
  <c r="O108" i="25" s="1"/>
  <c r="L108" i="25"/>
  <c r="M108" i="25" s="1"/>
  <c r="N107" i="24"/>
  <c r="L107" i="24"/>
  <c r="M107" i="24" s="1"/>
  <c r="N106" i="24"/>
  <c r="L106" i="24"/>
  <c r="M106" i="24" s="1"/>
  <c r="N108" i="23"/>
  <c r="L108" i="23"/>
  <c r="M108" i="23" s="1"/>
  <c r="N107" i="23"/>
  <c r="L107" i="23"/>
  <c r="M107" i="23" s="1"/>
  <c r="N109" i="22"/>
  <c r="L109" i="22"/>
  <c r="M109" i="22" s="1"/>
  <c r="N108" i="22"/>
  <c r="L108" i="22"/>
  <c r="M108" i="22" s="1"/>
  <c r="D55" i="56" l="1"/>
  <c r="E55" i="56" s="1"/>
  <c r="W44" i="17"/>
  <c r="P48" i="17"/>
  <c r="L48" i="17"/>
  <c r="P47" i="17"/>
  <c r="L47" i="17"/>
  <c r="P46" i="17"/>
  <c r="L46" i="17"/>
  <c r="D94" i="49"/>
  <c r="D93" i="49"/>
  <c r="D94" i="48"/>
  <c r="D93" i="48"/>
  <c r="C99" i="48" s="1"/>
  <c r="C100" i="48" s="1"/>
  <c r="C101" i="48" s="1"/>
  <c r="C102" i="48" s="1"/>
  <c r="C103" i="48" s="1"/>
  <c r="C104" i="48" s="1"/>
  <c r="C105" i="48" s="1"/>
  <c r="C106" i="48" s="1"/>
  <c r="C107" i="48" s="1"/>
  <c r="C108" i="48" s="1"/>
  <c r="C109" i="48" s="1"/>
  <c r="C110" i="48" s="1"/>
  <c r="C111" i="48" s="1"/>
  <c r="C112" i="48" s="1"/>
  <c r="C113" i="48" s="1"/>
  <c r="C114" i="48" s="1"/>
  <c r="C115" i="48" s="1"/>
  <c r="C116" i="48" s="1"/>
  <c r="C117" i="48" s="1"/>
  <c r="C118" i="48" s="1"/>
  <c r="C119" i="48" s="1"/>
  <c r="C120" i="48" s="1"/>
  <c r="C121" i="48" s="1"/>
  <c r="C122" i="48" s="1"/>
  <c r="C123" i="48" s="1"/>
  <c r="C124" i="48" s="1"/>
  <c r="C125" i="48" s="1"/>
  <c r="C126" i="48" s="1"/>
  <c r="C127" i="48" s="1"/>
  <c r="C128" i="48" s="1"/>
  <c r="C129" i="48" s="1"/>
  <c r="C130" i="48" s="1"/>
  <c r="C131" i="48" s="1"/>
  <c r="C132" i="48" s="1"/>
  <c r="C133" i="48" s="1"/>
  <c r="C134" i="48" s="1"/>
  <c r="C135" i="48" s="1"/>
  <c r="C136" i="48" s="1"/>
  <c r="C137" i="48" s="1"/>
  <c r="C138" i="48" s="1"/>
  <c r="C139" i="48" s="1"/>
  <c r="C140" i="48" s="1"/>
  <c r="C141" i="48" s="1"/>
  <c r="C142" i="48" s="1"/>
  <c r="C143" i="48" s="1"/>
  <c r="C144" i="48" s="1"/>
  <c r="C145" i="48" s="1"/>
  <c r="C146" i="48" s="1"/>
  <c r="C147" i="48" s="1"/>
  <c r="C148" i="48" s="1"/>
  <c r="C149" i="48" s="1"/>
  <c r="C150" i="48" s="1"/>
  <c r="C151" i="48" s="1"/>
  <c r="C152" i="48" s="1"/>
  <c r="C153" i="48" s="1"/>
  <c r="C154" i="48" s="1"/>
  <c r="D91" i="48"/>
  <c r="D91" i="46"/>
  <c r="D89" i="46"/>
  <c r="D89" i="49"/>
  <c r="D89" i="48"/>
  <c r="J154" i="48"/>
  <c r="J153" i="48"/>
  <c r="J152" i="48"/>
  <c r="J151" i="48"/>
  <c r="J150" i="48"/>
  <c r="J149" i="48"/>
  <c r="J148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54" i="49"/>
  <c r="J153" i="49"/>
  <c r="J152" i="49"/>
  <c r="J151" i="49"/>
  <c r="J150" i="49"/>
  <c r="J149" i="49"/>
  <c r="J148" i="49"/>
  <c r="J147" i="49"/>
  <c r="J146" i="49"/>
  <c r="J145" i="49"/>
  <c r="J144" i="49"/>
  <c r="J143" i="49"/>
  <c r="J142" i="49"/>
  <c r="J141" i="49"/>
  <c r="J140" i="49"/>
  <c r="J139" i="49"/>
  <c r="J138" i="49"/>
  <c r="J137" i="49"/>
  <c r="J136" i="49"/>
  <c r="J135" i="49"/>
  <c r="J134" i="49"/>
  <c r="J133" i="49"/>
  <c r="J132" i="49"/>
  <c r="J131" i="49"/>
  <c r="P154" i="49"/>
  <c r="O154" i="49"/>
  <c r="M154" i="49"/>
  <c r="P153" i="49"/>
  <c r="O153" i="49"/>
  <c r="M153" i="49"/>
  <c r="P152" i="49"/>
  <c r="O152" i="49"/>
  <c r="M152" i="49"/>
  <c r="P151" i="49"/>
  <c r="O151" i="49"/>
  <c r="M151" i="49"/>
  <c r="P150" i="49"/>
  <c r="O150" i="49"/>
  <c r="M150" i="49"/>
  <c r="P149" i="49"/>
  <c r="O149" i="49"/>
  <c r="M149" i="49"/>
  <c r="P148" i="49"/>
  <c r="O148" i="49"/>
  <c r="M148" i="49"/>
  <c r="P147" i="49"/>
  <c r="O147" i="49"/>
  <c r="M147" i="49"/>
  <c r="P146" i="49"/>
  <c r="O146" i="49"/>
  <c r="M146" i="49"/>
  <c r="P145" i="49"/>
  <c r="O145" i="49"/>
  <c r="M145" i="49"/>
  <c r="P144" i="49"/>
  <c r="O144" i="49"/>
  <c r="M144" i="49"/>
  <c r="P143" i="49"/>
  <c r="O143" i="49"/>
  <c r="M143" i="49"/>
  <c r="P142" i="49"/>
  <c r="O142" i="49"/>
  <c r="M142" i="49"/>
  <c r="P141" i="49"/>
  <c r="O141" i="49"/>
  <c r="M141" i="49"/>
  <c r="P140" i="49"/>
  <c r="O140" i="49"/>
  <c r="M140" i="49"/>
  <c r="P139" i="49"/>
  <c r="O139" i="49"/>
  <c r="M139" i="49"/>
  <c r="P138" i="49"/>
  <c r="O138" i="49"/>
  <c r="M138" i="49"/>
  <c r="P137" i="49"/>
  <c r="O137" i="49"/>
  <c r="M137" i="49"/>
  <c r="P136" i="49"/>
  <c r="O136" i="49"/>
  <c r="M136" i="49"/>
  <c r="P135" i="49"/>
  <c r="O135" i="49"/>
  <c r="M135" i="49"/>
  <c r="P134" i="49"/>
  <c r="O134" i="49"/>
  <c r="M134" i="49"/>
  <c r="P133" i="49"/>
  <c r="O133" i="49"/>
  <c r="M133" i="49"/>
  <c r="P132" i="49"/>
  <c r="O132" i="49"/>
  <c r="M132" i="49"/>
  <c r="P131" i="49"/>
  <c r="O131" i="49"/>
  <c r="M131" i="49"/>
  <c r="O130" i="49"/>
  <c r="M130" i="49"/>
  <c r="O129" i="49"/>
  <c r="M129" i="49"/>
  <c r="O128" i="49"/>
  <c r="M128" i="49"/>
  <c r="O127" i="49"/>
  <c r="M127" i="49"/>
  <c r="O126" i="49"/>
  <c r="M126" i="49"/>
  <c r="O125" i="49"/>
  <c r="M125" i="49"/>
  <c r="O124" i="49"/>
  <c r="M124" i="49"/>
  <c r="O123" i="49"/>
  <c r="M123" i="49"/>
  <c r="O122" i="49"/>
  <c r="M122" i="49"/>
  <c r="O121" i="49"/>
  <c r="M121" i="49"/>
  <c r="O120" i="49"/>
  <c r="M120" i="49"/>
  <c r="O119" i="49"/>
  <c r="M119" i="49"/>
  <c r="O118" i="49"/>
  <c r="M118" i="49"/>
  <c r="O117" i="49"/>
  <c r="M117" i="49"/>
  <c r="O116" i="49"/>
  <c r="M116" i="49"/>
  <c r="O115" i="49"/>
  <c r="M115" i="49"/>
  <c r="O114" i="49"/>
  <c r="M114" i="49"/>
  <c r="O113" i="49"/>
  <c r="M113" i="49"/>
  <c r="O112" i="49"/>
  <c r="M112" i="49"/>
  <c r="O111" i="49"/>
  <c r="M111" i="49"/>
  <c r="O110" i="49"/>
  <c r="M110" i="49"/>
  <c r="O109" i="49"/>
  <c r="M109" i="49"/>
  <c r="O108" i="49"/>
  <c r="M108" i="49"/>
  <c r="O107" i="49"/>
  <c r="M107" i="49"/>
  <c r="O106" i="49"/>
  <c r="M106" i="49"/>
  <c r="O105" i="49"/>
  <c r="M105" i="49"/>
  <c r="O104" i="49"/>
  <c r="M104" i="49"/>
  <c r="O103" i="49"/>
  <c r="M103" i="49"/>
  <c r="O102" i="49"/>
  <c r="M102" i="49"/>
  <c r="C99" i="49"/>
  <c r="C100" i="49" s="1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19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D96" i="49"/>
  <c r="L93" i="49"/>
  <c r="J93" i="49"/>
  <c r="N72" i="49"/>
  <c r="L72" i="49"/>
  <c r="N71" i="49"/>
  <c r="L71" i="49"/>
  <c r="N70" i="49"/>
  <c r="L70" i="49"/>
  <c r="N69" i="49"/>
  <c r="L69" i="49"/>
  <c r="N68" i="49"/>
  <c r="L68" i="49"/>
  <c r="N67" i="49"/>
  <c r="L67" i="49"/>
  <c r="N66" i="49"/>
  <c r="L66" i="49"/>
  <c r="N65" i="49"/>
  <c r="L65" i="49"/>
  <c r="N64" i="49"/>
  <c r="L64" i="49"/>
  <c r="N63" i="49"/>
  <c r="L63" i="49"/>
  <c r="N62" i="49"/>
  <c r="L62" i="49"/>
  <c r="N61" i="49"/>
  <c r="L61" i="49"/>
  <c r="N60" i="49"/>
  <c r="L60" i="49"/>
  <c r="N59" i="49"/>
  <c r="L59" i="49"/>
  <c r="N58" i="49"/>
  <c r="L58" i="49"/>
  <c r="N57" i="49"/>
  <c r="L57" i="49"/>
  <c r="N56" i="49"/>
  <c r="L56" i="49"/>
  <c r="N55" i="49"/>
  <c r="L55" i="49"/>
  <c r="N54" i="49"/>
  <c r="L54" i="49"/>
  <c r="N53" i="49"/>
  <c r="L53" i="49"/>
  <c r="N52" i="49"/>
  <c r="L52" i="49"/>
  <c r="N51" i="49"/>
  <c r="L51" i="49"/>
  <c r="N50" i="49"/>
  <c r="L50" i="49"/>
  <c r="N49" i="49"/>
  <c r="L49" i="49"/>
  <c r="N48" i="49"/>
  <c r="L48" i="49"/>
  <c r="N47" i="49"/>
  <c r="L47" i="49"/>
  <c r="N46" i="49"/>
  <c r="L46" i="49"/>
  <c r="N45" i="49"/>
  <c r="L45" i="49"/>
  <c r="N44" i="49"/>
  <c r="L44" i="49"/>
  <c r="N43" i="49"/>
  <c r="L43" i="49"/>
  <c r="N42" i="49"/>
  <c r="L42" i="49"/>
  <c r="N41" i="49"/>
  <c r="L41" i="49"/>
  <c r="N40" i="49"/>
  <c r="L40" i="49"/>
  <c r="N39" i="49"/>
  <c r="L39" i="49"/>
  <c r="N38" i="49"/>
  <c r="L38" i="49"/>
  <c r="N37" i="49"/>
  <c r="L37" i="49"/>
  <c r="N36" i="49"/>
  <c r="L36" i="49"/>
  <c r="N35" i="49"/>
  <c r="L35" i="49"/>
  <c r="N34" i="49"/>
  <c r="L34" i="49"/>
  <c r="N33" i="49"/>
  <c r="L33" i="49"/>
  <c r="N32" i="49"/>
  <c r="L32" i="49"/>
  <c r="N31" i="49"/>
  <c r="L31" i="49"/>
  <c r="N30" i="49"/>
  <c r="L30" i="49"/>
  <c r="N29" i="49"/>
  <c r="L29" i="49"/>
  <c r="N28" i="49"/>
  <c r="L28" i="49"/>
  <c r="N27" i="49"/>
  <c r="L27" i="49"/>
  <c r="N26" i="49"/>
  <c r="L26" i="49"/>
  <c r="N25" i="49"/>
  <c r="L25" i="49"/>
  <c r="N24" i="49"/>
  <c r="L24" i="49"/>
  <c r="N23" i="49"/>
  <c r="L23" i="49"/>
  <c r="N22" i="49"/>
  <c r="L22" i="49"/>
  <c r="N21" i="49"/>
  <c r="L21" i="49"/>
  <c r="C17" i="49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K11" i="49"/>
  <c r="I11" i="49"/>
  <c r="P83" i="49"/>
  <c r="P154" i="48"/>
  <c r="O154" i="48"/>
  <c r="M154" i="48"/>
  <c r="P153" i="48"/>
  <c r="O153" i="48"/>
  <c r="M153" i="48"/>
  <c r="P152" i="48"/>
  <c r="O152" i="48"/>
  <c r="M152" i="48"/>
  <c r="P151" i="48"/>
  <c r="O151" i="48"/>
  <c r="M151" i="48"/>
  <c r="P150" i="48"/>
  <c r="O150" i="48"/>
  <c r="M150" i="48"/>
  <c r="P149" i="48"/>
  <c r="O149" i="48"/>
  <c r="M149" i="48"/>
  <c r="P148" i="48"/>
  <c r="O148" i="48"/>
  <c r="M148" i="48"/>
  <c r="P147" i="48"/>
  <c r="O147" i="48"/>
  <c r="M147" i="48"/>
  <c r="P146" i="48"/>
  <c r="O146" i="48"/>
  <c r="M146" i="48"/>
  <c r="P145" i="48"/>
  <c r="O145" i="48"/>
  <c r="M145" i="48"/>
  <c r="P144" i="48"/>
  <c r="O144" i="48"/>
  <c r="M144" i="48"/>
  <c r="P143" i="48"/>
  <c r="O143" i="48"/>
  <c r="M143" i="48"/>
  <c r="P142" i="48"/>
  <c r="O142" i="48"/>
  <c r="M142" i="48"/>
  <c r="P141" i="48"/>
  <c r="O141" i="48"/>
  <c r="M141" i="48"/>
  <c r="P140" i="48"/>
  <c r="O140" i="48"/>
  <c r="M140" i="48"/>
  <c r="P139" i="48"/>
  <c r="O139" i="48"/>
  <c r="M139" i="48"/>
  <c r="P138" i="48"/>
  <c r="O138" i="48"/>
  <c r="M138" i="48"/>
  <c r="P137" i="48"/>
  <c r="O137" i="48"/>
  <c r="M137" i="48"/>
  <c r="P136" i="48"/>
  <c r="O136" i="48"/>
  <c r="M136" i="48"/>
  <c r="P135" i="48"/>
  <c r="O135" i="48"/>
  <c r="M135" i="48"/>
  <c r="P134" i="48"/>
  <c r="O134" i="48"/>
  <c r="M134" i="48"/>
  <c r="P133" i="48"/>
  <c r="O133" i="48"/>
  <c r="M133" i="48"/>
  <c r="P132" i="48"/>
  <c r="O132" i="48"/>
  <c r="M132" i="48"/>
  <c r="P131" i="48"/>
  <c r="O131" i="48"/>
  <c r="M131" i="48"/>
  <c r="O130" i="48"/>
  <c r="M130" i="48"/>
  <c r="O129" i="48"/>
  <c r="M129" i="48"/>
  <c r="O128" i="48"/>
  <c r="M128" i="48"/>
  <c r="O127" i="48"/>
  <c r="M127" i="48"/>
  <c r="O126" i="48"/>
  <c r="M126" i="48"/>
  <c r="O125" i="48"/>
  <c r="M125" i="48"/>
  <c r="O124" i="48"/>
  <c r="M124" i="48"/>
  <c r="O123" i="48"/>
  <c r="M123" i="48"/>
  <c r="O122" i="48"/>
  <c r="M122" i="48"/>
  <c r="O121" i="48"/>
  <c r="M121" i="48"/>
  <c r="O120" i="48"/>
  <c r="M120" i="48"/>
  <c r="O119" i="48"/>
  <c r="M119" i="48"/>
  <c r="O118" i="48"/>
  <c r="M118" i="48"/>
  <c r="O117" i="48"/>
  <c r="M117" i="48"/>
  <c r="O116" i="48"/>
  <c r="M116" i="48"/>
  <c r="O115" i="48"/>
  <c r="M115" i="48"/>
  <c r="O114" i="48"/>
  <c r="M114" i="48"/>
  <c r="O113" i="48"/>
  <c r="M113" i="48"/>
  <c r="O112" i="48"/>
  <c r="M112" i="48"/>
  <c r="O111" i="48"/>
  <c r="M111" i="48"/>
  <c r="O110" i="48"/>
  <c r="M110" i="48"/>
  <c r="O109" i="48"/>
  <c r="M109" i="48"/>
  <c r="O108" i="48"/>
  <c r="M108" i="48"/>
  <c r="O107" i="48"/>
  <c r="M107" i="48"/>
  <c r="O106" i="48"/>
  <c r="M106" i="48"/>
  <c r="O105" i="48"/>
  <c r="M105" i="48"/>
  <c r="O104" i="48"/>
  <c r="M104" i="48"/>
  <c r="O103" i="48"/>
  <c r="M103" i="48"/>
  <c r="D96" i="48"/>
  <c r="L93" i="48"/>
  <c r="J93" i="48"/>
  <c r="N72" i="48"/>
  <c r="L72" i="48"/>
  <c r="N71" i="48"/>
  <c r="L71" i="48"/>
  <c r="N70" i="48"/>
  <c r="L70" i="48"/>
  <c r="N69" i="48"/>
  <c r="L69" i="48"/>
  <c r="N68" i="48"/>
  <c r="L68" i="48"/>
  <c r="N67" i="48"/>
  <c r="L67" i="48"/>
  <c r="N66" i="48"/>
  <c r="L66" i="48"/>
  <c r="N65" i="48"/>
  <c r="L65" i="48"/>
  <c r="N64" i="48"/>
  <c r="L64" i="48"/>
  <c r="N63" i="48"/>
  <c r="L63" i="48"/>
  <c r="N62" i="48"/>
  <c r="L62" i="48"/>
  <c r="N61" i="48"/>
  <c r="L61" i="48"/>
  <c r="N60" i="48"/>
  <c r="L60" i="48"/>
  <c r="N59" i="48"/>
  <c r="L59" i="48"/>
  <c r="N58" i="48"/>
  <c r="L58" i="48"/>
  <c r="N57" i="48"/>
  <c r="L57" i="48"/>
  <c r="N56" i="48"/>
  <c r="L56" i="48"/>
  <c r="N55" i="48"/>
  <c r="L55" i="48"/>
  <c r="N54" i="48"/>
  <c r="L54" i="48"/>
  <c r="N53" i="48"/>
  <c r="L53" i="48"/>
  <c r="N52" i="48"/>
  <c r="L52" i="48"/>
  <c r="N51" i="48"/>
  <c r="L51" i="48"/>
  <c r="N50" i="48"/>
  <c r="L50" i="48"/>
  <c r="N49" i="48"/>
  <c r="L49" i="48"/>
  <c r="N48" i="48"/>
  <c r="L48" i="48"/>
  <c r="N47" i="48"/>
  <c r="L47" i="48"/>
  <c r="N46" i="48"/>
  <c r="L46" i="48"/>
  <c r="N45" i="48"/>
  <c r="L45" i="48"/>
  <c r="N44" i="48"/>
  <c r="L44" i="48"/>
  <c r="N43" i="48"/>
  <c r="L43" i="48"/>
  <c r="N42" i="48"/>
  <c r="L42" i="48"/>
  <c r="N41" i="48"/>
  <c r="L41" i="48"/>
  <c r="N40" i="48"/>
  <c r="L40" i="48"/>
  <c r="N39" i="48"/>
  <c r="L39" i="48"/>
  <c r="N38" i="48"/>
  <c r="L38" i="48"/>
  <c r="N37" i="48"/>
  <c r="L37" i="48"/>
  <c r="N36" i="48"/>
  <c r="L36" i="48"/>
  <c r="N35" i="48"/>
  <c r="L35" i="48"/>
  <c r="N34" i="48"/>
  <c r="L34" i="48"/>
  <c r="N33" i="48"/>
  <c r="L33" i="48"/>
  <c r="N32" i="48"/>
  <c r="L32" i="48"/>
  <c r="N31" i="48"/>
  <c r="L31" i="48"/>
  <c r="N30" i="48"/>
  <c r="L30" i="48"/>
  <c r="N29" i="48"/>
  <c r="L29" i="48"/>
  <c r="N28" i="48"/>
  <c r="L28" i="48"/>
  <c r="N27" i="48"/>
  <c r="L27" i="48"/>
  <c r="N26" i="48"/>
  <c r="L26" i="48"/>
  <c r="N25" i="48"/>
  <c r="L25" i="48"/>
  <c r="N24" i="48"/>
  <c r="L24" i="48"/>
  <c r="N23" i="48"/>
  <c r="L23" i="48"/>
  <c r="N22" i="48"/>
  <c r="L22" i="48"/>
  <c r="C17" i="48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K11" i="48"/>
  <c r="I11" i="48"/>
  <c r="P83" i="48"/>
  <c r="P154" i="47"/>
  <c r="O154" i="47"/>
  <c r="M154" i="47"/>
  <c r="J154" i="47"/>
  <c r="P153" i="47"/>
  <c r="O153" i="47"/>
  <c r="M153" i="47"/>
  <c r="J153" i="47"/>
  <c r="P152" i="47"/>
  <c r="O152" i="47"/>
  <c r="M152" i="47"/>
  <c r="J152" i="47"/>
  <c r="P151" i="47"/>
  <c r="O151" i="47"/>
  <c r="M151" i="47"/>
  <c r="J151" i="47"/>
  <c r="P150" i="47"/>
  <c r="O150" i="47"/>
  <c r="M150" i="47"/>
  <c r="J150" i="47"/>
  <c r="P149" i="47"/>
  <c r="O149" i="47"/>
  <c r="M149" i="47"/>
  <c r="J149" i="47"/>
  <c r="P148" i="47"/>
  <c r="O148" i="47"/>
  <c r="M148" i="47"/>
  <c r="J148" i="47"/>
  <c r="P147" i="47"/>
  <c r="O147" i="47"/>
  <c r="M147" i="47"/>
  <c r="J147" i="47"/>
  <c r="P146" i="47"/>
  <c r="O146" i="47"/>
  <c r="M146" i="47"/>
  <c r="J146" i="47"/>
  <c r="P145" i="47"/>
  <c r="O145" i="47"/>
  <c r="M145" i="47"/>
  <c r="J145" i="47"/>
  <c r="P144" i="47"/>
  <c r="O144" i="47"/>
  <c r="M144" i="47"/>
  <c r="J144" i="47"/>
  <c r="P143" i="47"/>
  <c r="O143" i="47"/>
  <c r="M143" i="47"/>
  <c r="J143" i="47"/>
  <c r="P142" i="47"/>
  <c r="O142" i="47"/>
  <c r="M142" i="47"/>
  <c r="J142" i="47"/>
  <c r="P141" i="47"/>
  <c r="O141" i="47"/>
  <c r="M141" i="47"/>
  <c r="J141" i="47"/>
  <c r="P140" i="47"/>
  <c r="O140" i="47"/>
  <c r="M140" i="47"/>
  <c r="J140" i="47"/>
  <c r="P139" i="47"/>
  <c r="O139" i="47"/>
  <c r="M139" i="47"/>
  <c r="J139" i="47"/>
  <c r="P138" i="47"/>
  <c r="O138" i="47"/>
  <c r="M138" i="47"/>
  <c r="J138" i="47"/>
  <c r="P137" i="47"/>
  <c r="O137" i="47"/>
  <c r="M137" i="47"/>
  <c r="J137" i="47"/>
  <c r="P136" i="47"/>
  <c r="O136" i="47"/>
  <c r="M136" i="47"/>
  <c r="J136" i="47"/>
  <c r="P135" i="47"/>
  <c r="O135" i="47"/>
  <c r="M135" i="47"/>
  <c r="J135" i="47"/>
  <c r="P134" i="47"/>
  <c r="O134" i="47"/>
  <c r="M134" i="47"/>
  <c r="J134" i="47"/>
  <c r="P133" i="47"/>
  <c r="O133" i="47"/>
  <c r="M133" i="47"/>
  <c r="J133" i="47"/>
  <c r="P132" i="47"/>
  <c r="O132" i="47"/>
  <c r="M132" i="47"/>
  <c r="J132" i="47"/>
  <c r="P131" i="47"/>
  <c r="O131" i="47"/>
  <c r="M131" i="47"/>
  <c r="J131" i="47"/>
  <c r="O130" i="47"/>
  <c r="M130" i="47"/>
  <c r="O129" i="47"/>
  <c r="M129" i="47"/>
  <c r="O128" i="47"/>
  <c r="M128" i="47"/>
  <c r="O127" i="47"/>
  <c r="M127" i="47"/>
  <c r="O126" i="47"/>
  <c r="M126" i="47"/>
  <c r="O125" i="47"/>
  <c r="M125" i="47"/>
  <c r="O124" i="47"/>
  <c r="M124" i="47"/>
  <c r="O123" i="47"/>
  <c r="M123" i="47"/>
  <c r="O122" i="47"/>
  <c r="M122" i="47"/>
  <c r="O121" i="47"/>
  <c r="M121" i="47"/>
  <c r="O120" i="47"/>
  <c r="M120" i="47"/>
  <c r="O119" i="47"/>
  <c r="M119" i="47"/>
  <c r="O118" i="47"/>
  <c r="M118" i="47"/>
  <c r="O117" i="47"/>
  <c r="M117" i="47"/>
  <c r="O116" i="47"/>
  <c r="M116" i="47"/>
  <c r="O115" i="47"/>
  <c r="M115" i="47"/>
  <c r="O114" i="47"/>
  <c r="M114" i="47"/>
  <c r="O113" i="47"/>
  <c r="M113" i="47"/>
  <c r="O112" i="47"/>
  <c r="M112" i="47"/>
  <c r="O111" i="47"/>
  <c r="M111" i="47"/>
  <c r="O110" i="47"/>
  <c r="M110" i="47"/>
  <c r="O109" i="47"/>
  <c r="M109" i="47"/>
  <c r="O108" i="47"/>
  <c r="M108" i="47"/>
  <c r="O107" i="47"/>
  <c r="M107" i="47"/>
  <c r="O106" i="47"/>
  <c r="M106" i="47"/>
  <c r="O105" i="47"/>
  <c r="M105" i="47"/>
  <c r="O104" i="47"/>
  <c r="M104" i="47"/>
  <c r="O103" i="47"/>
  <c r="M103" i="47"/>
  <c r="O102" i="47"/>
  <c r="M102" i="47"/>
  <c r="O99" i="47"/>
  <c r="M99" i="47"/>
  <c r="J99" i="47"/>
  <c r="C99" i="47"/>
  <c r="C100" i="47" s="1"/>
  <c r="C101" i="47" s="1"/>
  <c r="C102" i="47" s="1"/>
  <c r="C103" i="47" s="1"/>
  <c r="C104" i="47" s="1"/>
  <c r="C105" i="47" s="1"/>
  <c r="C106" i="47" s="1"/>
  <c r="C107" i="47" s="1"/>
  <c r="C108" i="47" s="1"/>
  <c r="C109" i="47" s="1"/>
  <c r="C110" i="47" s="1"/>
  <c r="C111" i="47" s="1"/>
  <c r="C112" i="47" s="1"/>
  <c r="C113" i="47" s="1"/>
  <c r="C114" i="47" s="1"/>
  <c r="C115" i="47" s="1"/>
  <c r="C116" i="47" s="1"/>
  <c r="C117" i="47" s="1"/>
  <c r="C118" i="47" s="1"/>
  <c r="C119" i="47" s="1"/>
  <c r="C120" i="47" s="1"/>
  <c r="C121" i="47" s="1"/>
  <c r="C122" i="47" s="1"/>
  <c r="C123" i="47" s="1"/>
  <c r="C124" i="47" s="1"/>
  <c r="C125" i="47" s="1"/>
  <c r="C126" i="47" s="1"/>
  <c r="C127" i="47" s="1"/>
  <c r="C128" i="47" s="1"/>
  <c r="C129" i="47" s="1"/>
  <c r="C130" i="47" s="1"/>
  <c r="C131" i="47" s="1"/>
  <c r="C132" i="47" s="1"/>
  <c r="C133" i="47" s="1"/>
  <c r="C134" i="47" s="1"/>
  <c r="C135" i="47" s="1"/>
  <c r="C136" i="47" s="1"/>
  <c r="C137" i="47" s="1"/>
  <c r="C138" i="47" s="1"/>
  <c r="C139" i="47" s="1"/>
  <c r="C140" i="47" s="1"/>
  <c r="C141" i="47" s="1"/>
  <c r="C142" i="47" s="1"/>
  <c r="C143" i="47" s="1"/>
  <c r="C144" i="47" s="1"/>
  <c r="C145" i="47" s="1"/>
  <c r="C146" i="47" s="1"/>
  <c r="C147" i="47" s="1"/>
  <c r="C148" i="47" s="1"/>
  <c r="C149" i="47" s="1"/>
  <c r="C150" i="47" s="1"/>
  <c r="C151" i="47" s="1"/>
  <c r="C152" i="47" s="1"/>
  <c r="C153" i="47" s="1"/>
  <c r="C154" i="47" s="1"/>
  <c r="D96" i="47"/>
  <c r="L93" i="47"/>
  <c r="J93" i="47"/>
  <c r="D90" i="47"/>
  <c r="N72" i="47"/>
  <c r="L72" i="47"/>
  <c r="N71" i="47"/>
  <c r="L71" i="47"/>
  <c r="N70" i="47"/>
  <c r="L70" i="47"/>
  <c r="N69" i="47"/>
  <c r="L69" i="47"/>
  <c r="N68" i="47"/>
  <c r="L68" i="47"/>
  <c r="N67" i="47"/>
  <c r="L67" i="47"/>
  <c r="N66" i="47"/>
  <c r="L66" i="47"/>
  <c r="N65" i="47"/>
  <c r="L65" i="47"/>
  <c r="N64" i="47"/>
  <c r="L64" i="47"/>
  <c r="N63" i="47"/>
  <c r="L63" i="47"/>
  <c r="N62" i="47"/>
  <c r="L62" i="47"/>
  <c r="N61" i="47"/>
  <c r="L61" i="47"/>
  <c r="N60" i="47"/>
  <c r="L60" i="47"/>
  <c r="N59" i="47"/>
  <c r="L59" i="47"/>
  <c r="N58" i="47"/>
  <c r="L58" i="47"/>
  <c r="N57" i="47"/>
  <c r="L57" i="47"/>
  <c r="N56" i="47"/>
  <c r="L56" i="47"/>
  <c r="N55" i="47"/>
  <c r="L55" i="47"/>
  <c r="N54" i="47"/>
  <c r="L54" i="47"/>
  <c r="N53" i="47"/>
  <c r="L53" i="47"/>
  <c r="N52" i="47"/>
  <c r="L52" i="47"/>
  <c r="N51" i="47"/>
  <c r="L51" i="47"/>
  <c r="N50" i="47"/>
  <c r="L50" i="47"/>
  <c r="N49" i="47"/>
  <c r="L49" i="47"/>
  <c r="N48" i="47"/>
  <c r="L48" i="47"/>
  <c r="N47" i="47"/>
  <c r="L47" i="47"/>
  <c r="N46" i="47"/>
  <c r="L46" i="47"/>
  <c r="N45" i="47"/>
  <c r="L45" i="47"/>
  <c r="N44" i="47"/>
  <c r="L44" i="47"/>
  <c r="N43" i="47"/>
  <c r="L43" i="47"/>
  <c r="N42" i="47"/>
  <c r="L42" i="47"/>
  <c r="N41" i="47"/>
  <c r="L41" i="47"/>
  <c r="N40" i="47"/>
  <c r="L40" i="47"/>
  <c r="N39" i="47"/>
  <c r="L39" i="47"/>
  <c r="N38" i="47"/>
  <c r="L38" i="47"/>
  <c r="N37" i="47"/>
  <c r="L37" i="47"/>
  <c r="N36" i="47"/>
  <c r="L36" i="47"/>
  <c r="N35" i="47"/>
  <c r="L35" i="47"/>
  <c r="N34" i="47"/>
  <c r="L34" i="47"/>
  <c r="N33" i="47"/>
  <c r="L33" i="47"/>
  <c r="N32" i="47"/>
  <c r="L32" i="47"/>
  <c r="N31" i="47"/>
  <c r="L31" i="47"/>
  <c r="N30" i="47"/>
  <c r="L30" i="47"/>
  <c r="N29" i="47"/>
  <c r="L29" i="47"/>
  <c r="N28" i="47"/>
  <c r="L28" i="47"/>
  <c r="N27" i="47"/>
  <c r="L27" i="47"/>
  <c r="N26" i="47"/>
  <c r="L26" i="47"/>
  <c r="N25" i="47"/>
  <c r="L25" i="47"/>
  <c r="N24" i="47"/>
  <c r="L24" i="47"/>
  <c r="N23" i="47"/>
  <c r="L23" i="47"/>
  <c r="N22" i="47"/>
  <c r="L22" i="47"/>
  <c r="N21" i="47"/>
  <c r="L21" i="47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K11" i="47"/>
  <c r="I11" i="47"/>
  <c r="P83" i="47"/>
  <c r="B55" i="56" l="1"/>
  <c r="F55" i="56"/>
  <c r="P99" i="47"/>
  <c r="O34" i="49"/>
  <c r="O36" i="49"/>
  <c r="O38" i="49"/>
  <c r="O42" i="49"/>
  <c r="O44" i="49"/>
  <c r="O46" i="49"/>
  <c r="O52" i="49"/>
  <c r="O60" i="49"/>
  <c r="O62" i="49"/>
  <c r="O64" i="49"/>
  <c r="O68" i="49"/>
  <c r="O70" i="49"/>
  <c r="O72" i="49"/>
  <c r="P109" i="49"/>
  <c r="P113" i="49"/>
  <c r="O23" i="49"/>
  <c r="O25" i="49"/>
  <c r="O27" i="49"/>
  <c r="O31" i="49"/>
  <c r="O39" i="49"/>
  <c r="O49" i="49"/>
  <c r="O59" i="49"/>
  <c r="O67" i="49"/>
  <c r="P130" i="47"/>
  <c r="P113" i="47"/>
  <c r="O23" i="47"/>
  <c r="O31" i="47"/>
  <c r="O33" i="47"/>
  <c r="O43" i="47"/>
  <c r="O45" i="47"/>
  <c r="O49" i="47"/>
  <c r="P120" i="47"/>
  <c r="P122" i="47"/>
  <c r="O38" i="48"/>
  <c r="O68" i="48"/>
  <c r="O24" i="49"/>
  <c r="O30" i="47"/>
  <c r="O38" i="47"/>
  <c r="O60" i="47"/>
  <c r="O47" i="49"/>
  <c r="P102" i="47"/>
  <c r="P104" i="47"/>
  <c r="P106" i="47"/>
  <c r="P108" i="47"/>
  <c r="P110" i="47"/>
  <c r="P112" i="47"/>
  <c r="P115" i="47"/>
  <c r="P117" i="47"/>
  <c r="P103" i="47"/>
  <c r="P105" i="47"/>
  <c r="P109" i="47"/>
  <c r="P111" i="47"/>
  <c r="O51" i="47"/>
  <c r="O55" i="47"/>
  <c r="O67" i="47"/>
  <c r="O71" i="47"/>
  <c r="O72" i="47"/>
  <c r="P107" i="47"/>
  <c r="P114" i="47"/>
  <c r="P116" i="47"/>
  <c r="O22" i="47"/>
  <c r="P118" i="47"/>
  <c r="O34" i="47"/>
  <c r="P119" i="47"/>
  <c r="O41" i="47"/>
  <c r="O50" i="47"/>
  <c r="O52" i="47"/>
  <c r="O54" i="47"/>
  <c r="O56" i="47"/>
  <c r="O62" i="47"/>
  <c r="O64" i="47"/>
  <c r="P123" i="47"/>
  <c r="O24" i="47"/>
  <c r="O32" i="47"/>
  <c r="O42" i="47"/>
  <c r="P121" i="47"/>
  <c r="O25" i="47"/>
  <c r="O53" i="47"/>
  <c r="O57" i="47"/>
  <c r="O65" i="47"/>
  <c r="O26" i="47"/>
  <c r="O44" i="47"/>
  <c r="O21" i="47"/>
  <c r="O28" i="47"/>
  <c r="O35" i="47"/>
  <c r="O37" i="47"/>
  <c r="O39" i="47"/>
  <c r="O46" i="47"/>
  <c r="O48" i="47"/>
  <c r="O58" i="47"/>
  <c r="O27" i="47"/>
  <c r="O29" i="47"/>
  <c r="O36" i="47"/>
  <c r="O40" i="47"/>
  <c r="O47" i="47"/>
  <c r="O59" i="47"/>
  <c r="O61" i="47"/>
  <c r="O66" i="47"/>
  <c r="O68" i="47"/>
  <c r="O63" i="47"/>
  <c r="O70" i="47"/>
  <c r="O69" i="47"/>
  <c r="O42" i="48"/>
  <c r="O44" i="48"/>
  <c r="O48" i="48"/>
  <c r="O58" i="48"/>
  <c r="O60" i="48"/>
  <c r="O66" i="48"/>
  <c r="O25" i="48"/>
  <c r="O41" i="48"/>
  <c r="O32" i="48"/>
  <c r="O36" i="48"/>
  <c r="O47" i="48"/>
  <c r="O49" i="48"/>
  <c r="O53" i="48"/>
  <c r="O61" i="48"/>
  <c r="O52" i="48"/>
  <c r="O63" i="48"/>
  <c r="O65" i="48"/>
  <c r="O29" i="48"/>
  <c r="O34" i="48"/>
  <c r="O37" i="48"/>
  <c r="O45" i="48"/>
  <c r="O24" i="48"/>
  <c r="O31" i="48"/>
  <c r="O33" i="48"/>
  <c r="O26" i="48"/>
  <c r="O28" i="48"/>
  <c r="O56" i="48"/>
  <c r="O72" i="48"/>
  <c r="O39" i="48"/>
  <c r="O23" i="48"/>
  <c r="O40" i="48"/>
  <c r="O50" i="48"/>
  <c r="O55" i="48"/>
  <c r="O57" i="48"/>
  <c r="O69" i="48"/>
  <c r="O64" i="48"/>
  <c r="O71" i="48"/>
  <c r="P106" i="48"/>
  <c r="P112" i="48"/>
  <c r="P116" i="48"/>
  <c r="P120" i="48"/>
  <c r="P130" i="48"/>
  <c r="P104" i="48"/>
  <c r="P108" i="48"/>
  <c r="P110" i="48"/>
  <c r="P114" i="48"/>
  <c r="P122" i="48"/>
  <c r="P126" i="48"/>
  <c r="P121" i="48"/>
  <c r="P129" i="48"/>
  <c r="P118" i="49"/>
  <c r="P122" i="49"/>
  <c r="P124" i="49"/>
  <c r="P126" i="49"/>
  <c r="P128" i="49"/>
  <c r="P130" i="49"/>
  <c r="P115" i="49"/>
  <c r="P117" i="49"/>
  <c r="P104" i="49"/>
  <c r="P107" i="49"/>
  <c r="O33" i="49"/>
  <c r="O35" i="49"/>
  <c r="O50" i="49"/>
  <c r="O63" i="49"/>
  <c r="O22" i="49"/>
  <c r="O26" i="49"/>
  <c r="O28" i="49"/>
  <c r="O30" i="49"/>
  <c r="O41" i="49"/>
  <c r="O43" i="49"/>
  <c r="O56" i="49"/>
  <c r="O71" i="49"/>
  <c r="O66" i="49"/>
  <c r="P112" i="49"/>
  <c r="O29" i="49"/>
  <c r="O32" i="49"/>
  <c r="O37" i="49"/>
  <c r="O40" i="49"/>
  <c r="O45" i="49"/>
  <c r="O48" i="49"/>
  <c r="O53" i="49"/>
  <c r="O55" i="49"/>
  <c r="P105" i="49"/>
  <c r="P114" i="49"/>
  <c r="P116" i="49"/>
  <c r="O51" i="49"/>
  <c r="O58" i="49"/>
  <c r="O61" i="49"/>
  <c r="O69" i="49"/>
  <c r="P110" i="49"/>
  <c r="O21" i="49"/>
  <c r="P108" i="49"/>
  <c r="P111" i="49"/>
  <c r="P103" i="49"/>
  <c r="P121" i="49"/>
  <c r="P125" i="49"/>
  <c r="P127" i="49"/>
  <c r="P129" i="49"/>
  <c r="C45" i="49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P106" i="49"/>
  <c r="O54" i="49"/>
  <c r="O57" i="49"/>
  <c r="O65" i="49"/>
  <c r="P102" i="49"/>
  <c r="P119" i="49"/>
  <c r="P123" i="49"/>
  <c r="P120" i="49"/>
  <c r="C45" i="48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O22" i="48"/>
  <c r="O27" i="48"/>
  <c r="O30" i="48"/>
  <c r="O35" i="48"/>
  <c r="O43" i="48"/>
  <c r="O46" i="48"/>
  <c r="O51" i="48"/>
  <c r="O54" i="48"/>
  <c r="O59" i="48"/>
  <c r="O62" i="48"/>
  <c r="O67" i="48"/>
  <c r="O70" i="48"/>
  <c r="P103" i="48"/>
  <c r="P105" i="48"/>
  <c r="P107" i="48"/>
  <c r="P109" i="48"/>
  <c r="P111" i="48"/>
  <c r="P113" i="48"/>
  <c r="P115" i="48"/>
  <c r="P117" i="48"/>
  <c r="P125" i="48"/>
  <c r="P118" i="48"/>
  <c r="P124" i="48"/>
  <c r="P128" i="48"/>
  <c r="P119" i="48"/>
  <c r="P123" i="48"/>
  <c r="P127" i="48"/>
  <c r="P125" i="47"/>
  <c r="P127" i="47"/>
  <c r="P129" i="47"/>
  <c r="P124" i="47"/>
  <c r="P126" i="47"/>
  <c r="P128" i="47"/>
  <c r="N99" i="46"/>
  <c r="L99" i="46"/>
  <c r="M99" i="46" s="1"/>
  <c r="M18" i="46"/>
  <c r="K18" i="46"/>
  <c r="L18" i="46" s="1"/>
  <c r="N100" i="45"/>
  <c r="L100" i="45"/>
  <c r="M100" i="45" s="1"/>
  <c r="N99" i="45"/>
  <c r="L99" i="45"/>
  <c r="M99" i="45" s="1"/>
  <c r="M19" i="45"/>
  <c r="K19" i="45"/>
  <c r="L19" i="45" s="1"/>
  <c r="N100" i="44"/>
  <c r="L100" i="44"/>
  <c r="M100" i="44" s="1"/>
  <c r="N99" i="44"/>
  <c r="L99" i="44"/>
  <c r="M99" i="44" s="1"/>
  <c r="M19" i="44"/>
  <c r="K19" i="44"/>
  <c r="L19" i="44" s="1"/>
  <c r="N101" i="43"/>
  <c r="L101" i="43"/>
  <c r="M101" i="43" s="1"/>
  <c r="N100" i="43"/>
  <c r="L100" i="43"/>
  <c r="M100" i="43" s="1"/>
  <c r="M20" i="43"/>
  <c r="K20" i="43"/>
  <c r="L20" i="43" s="1"/>
  <c r="N101" i="42"/>
  <c r="L101" i="42"/>
  <c r="M101" i="42" s="1"/>
  <c r="N100" i="42"/>
  <c r="L100" i="42"/>
  <c r="M100" i="42" s="1"/>
  <c r="M20" i="42"/>
  <c r="K20" i="42"/>
  <c r="L20" i="42" s="1"/>
  <c r="N101" i="41"/>
  <c r="L101" i="41"/>
  <c r="M101" i="41" s="1"/>
  <c r="N100" i="41"/>
  <c r="L100" i="41"/>
  <c r="M100" i="41" s="1"/>
  <c r="M20" i="41"/>
  <c r="K20" i="41"/>
  <c r="L20" i="41" s="1"/>
  <c r="N101" i="40"/>
  <c r="L101" i="40"/>
  <c r="M101" i="40" s="1"/>
  <c r="N100" i="40"/>
  <c r="L100" i="40"/>
  <c r="M100" i="40" s="1"/>
  <c r="M20" i="40"/>
  <c r="K20" i="40"/>
  <c r="L20" i="40" s="1"/>
  <c r="N102" i="39"/>
  <c r="L102" i="39"/>
  <c r="M102" i="39" s="1"/>
  <c r="N101" i="39"/>
  <c r="L101" i="39"/>
  <c r="M101" i="39" s="1"/>
  <c r="M21" i="39"/>
  <c r="K21" i="39"/>
  <c r="L21" i="39" s="1"/>
  <c r="N101" i="38"/>
  <c r="L101" i="38"/>
  <c r="M101" i="38" s="1"/>
  <c r="M21" i="38"/>
  <c r="K21" i="38"/>
  <c r="L21" i="38" s="1"/>
  <c r="N102" i="37"/>
  <c r="L102" i="37"/>
  <c r="M102" i="37" s="1"/>
  <c r="N101" i="37"/>
  <c r="L101" i="37"/>
  <c r="M101" i="37" s="1"/>
  <c r="M21" i="37"/>
  <c r="K21" i="37"/>
  <c r="L21" i="37" s="1"/>
  <c r="N105" i="31"/>
  <c r="L105" i="31"/>
  <c r="M105" i="31" s="1"/>
  <c r="N104" i="31"/>
  <c r="L104" i="31"/>
  <c r="M104" i="31" s="1"/>
  <c r="M24" i="31"/>
  <c r="K24" i="31"/>
  <c r="L24" i="31" s="1"/>
  <c r="N104" i="30"/>
  <c r="L104" i="30"/>
  <c r="M104" i="30" s="1"/>
  <c r="N103" i="30"/>
  <c r="L103" i="30"/>
  <c r="M103" i="30" s="1"/>
  <c r="M23" i="30"/>
  <c r="K23" i="30"/>
  <c r="L23" i="30" s="1"/>
  <c r="N105" i="29"/>
  <c r="L105" i="29"/>
  <c r="M105" i="29" s="1"/>
  <c r="N104" i="29"/>
  <c r="L104" i="29"/>
  <c r="M104" i="29" s="1"/>
  <c r="M24" i="29"/>
  <c r="K24" i="29"/>
  <c r="L24" i="29" s="1"/>
  <c r="N105" i="28"/>
  <c r="L105" i="28"/>
  <c r="M105" i="28" s="1"/>
  <c r="N104" i="28"/>
  <c r="L104" i="28"/>
  <c r="M104" i="28" s="1"/>
  <c r="M24" i="28"/>
  <c r="K24" i="28"/>
  <c r="L24" i="28" s="1"/>
  <c r="N106" i="27"/>
  <c r="L106" i="27"/>
  <c r="M106" i="27" s="1"/>
  <c r="N105" i="27"/>
  <c r="L105" i="27"/>
  <c r="M105" i="27" s="1"/>
  <c r="M25" i="27"/>
  <c r="K25" i="27"/>
  <c r="L25" i="27" s="1"/>
  <c r="N112" i="11"/>
  <c r="L112" i="11"/>
  <c r="M112" i="11" s="1"/>
  <c r="N111" i="11"/>
  <c r="L111" i="11"/>
  <c r="M111" i="11" s="1"/>
  <c r="M31" i="11"/>
  <c r="K31" i="11"/>
  <c r="L31" i="11" s="1"/>
  <c r="D56" i="56" l="1"/>
  <c r="E56" i="56" s="1"/>
  <c r="B18" i="49"/>
  <c r="F56" i="56" l="1"/>
  <c r="B56" i="56"/>
  <c r="N113" i="10"/>
  <c r="L113" i="10"/>
  <c r="M113" i="10" s="1"/>
  <c r="N112" i="10"/>
  <c r="L112" i="10"/>
  <c r="M112" i="10" s="1"/>
  <c r="M32" i="10"/>
  <c r="K32" i="10"/>
  <c r="L32" i="10" s="1"/>
  <c r="N112" i="9"/>
  <c r="L112" i="9"/>
  <c r="M112" i="9" s="1"/>
  <c r="N111" i="9"/>
  <c r="L111" i="9"/>
  <c r="M111" i="9" s="1"/>
  <c r="M31" i="9"/>
  <c r="K31" i="9"/>
  <c r="L31" i="9" s="1"/>
  <c r="N111" i="8"/>
  <c r="L111" i="8"/>
  <c r="M111" i="8" s="1"/>
  <c r="N110" i="8"/>
  <c r="L110" i="8"/>
  <c r="M110" i="8" s="1"/>
  <c r="M30" i="8"/>
  <c r="K30" i="8"/>
  <c r="L30" i="8" s="1"/>
  <c r="N113" i="7"/>
  <c r="L113" i="7"/>
  <c r="M113" i="7" s="1"/>
  <c r="N112" i="7"/>
  <c r="L112" i="7"/>
  <c r="M112" i="7" s="1"/>
  <c r="M32" i="7"/>
  <c r="K32" i="7"/>
  <c r="L32" i="7" s="1"/>
  <c r="N111" i="6"/>
  <c r="L111" i="6"/>
  <c r="M111" i="6" s="1"/>
  <c r="N110" i="6"/>
  <c r="L110" i="6"/>
  <c r="M110" i="6" s="1"/>
  <c r="M30" i="6"/>
  <c r="K30" i="6"/>
  <c r="L30" i="6" s="1"/>
  <c r="N110" i="5"/>
  <c r="L110" i="5"/>
  <c r="M110" i="5" s="1"/>
  <c r="N109" i="5"/>
  <c r="L109" i="5"/>
  <c r="M109" i="5" s="1"/>
  <c r="M29" i="5"/>
  <c r="K29" i="5"/>
  <c r="L29" i="5" s="1"/>
  <c r="N110" i="4"/>
  <c r="L110" i="4"/>
  <c r="M110" i="4" s="1"/>
  <c r="N109" i="4"/>
  <c r="L109" i="4"/>
  <c r="M109" i="4" s="1"/>
  <c r="M29" i="4"/>
  <c r="K29" i="4"/>
  <c r="L29" i="4" s="1"/>
  <c r="N110" i="3"/>
  <c r="L110" i="3"/>
  <c r="M110" i="3" s="1"/>
  <c r="N109" i="3"/>
  <c r="L109" i="3"/>
  <c r="M109" i="3" s="1"/>
  <c r="M29" i="3"/>
  <c r="K29" i="3"/>
  <c r="L29" i="3" s="1"/>
  <c r="D57" i="56" l="1"/>
  <c r="P45" i="17"/>
  <c r="I17" i="44"/>
  <c r="I18" i="44"/>
  <c r="B57" i="56" l="1"/>
  <c r="E57" i="56"/>
  <c r="F57" i="56" s="1"/>
  <c r="M17" i="46"/>
  <c r="K17" i="46"/>
  <c r="L17" i="46" s="1"/>
  <c r="M23" i="31"/>
  <c r="K23" i="31"/>
  <c r="L23" i="31" s="1"/>
  <c r="M22" i="30"/>
  <c r="K22" i="30"/>
  <c r="L22" i="30" s="1"/>
  <c r="D58" i="56" l="1"/>
  <c r="E58" i="56" s="1"/>
  <c r="M18" i="44"/>
  <c r="K18" i="44"/>
  <c r="L18" i="44" s="1"/>
  <c r="M19" i="43"/>
  <c r="K19" i="43"/>
  <c r="L19" i="43" s="1"/>
  <c r="M19" i="42"/>
  <c r="K19" i="42"/>
  <c r="L19" i="42" s="1"/>
  <c r="M19" i="41"/>
  <c r="K19" i="41"/>
  <c r="L19" i="41" s="1"/>
  <c r="M19" i="40"/>
  <c r="K19" i="40"/>
  <c r="L19" i="40" s="1"/>
  <c r="M20" i="39"/>
  <c r="K20" i="39"/>
  <c r="L20" i="39" s="1"/>
  <c r="M20" i="38"/>
  <c r="K20" i="38"/>
  <c r="L20" i="38" s="1"/>
  <c r="M20" i="37"/>
  <c r="K20" i="37"/>
  <c r="L20" i="37" s="1"/>
  <c r="M23" i="29"/>
  <c r="K23" i="29"/>
  <c r="L23" i="29" s="1"/>
  <c r="M23" i="28"/>
  <c r="K23" i="28"/>
  <c r="L23" i="28" s="1"/>
  <c r="M24" i="27"/>
  <c r="K24" i="27"/>
  <c r="L24" i="27" s="1"/>
  <c r="M27" i="25"/>
  <c r="K27" i="25"/>
  <c r="L27" i="25" s="1"/>
  <c r="M25" i="24"/>
  <c r="K25" i="24"/>
  <c r="L25" i="24" s="1"/>
  <c r="M26" i="23"/>
  <c r="K26" i="23"/>
  <c r="L26" i="23" s="1"/>
  <c r="M27" i="22"/>
  <c r="K27" i="22"/>
  <c r="L27" i="22" s="1"/>
  <c r="M30" i="11"/>
  <c r="K30" i="11"/>
  <c r="L30" i="11" s="1"/>
  <c r="M31" i="10"/>
  <c r="K31" i="10"/>
  <c r="L31" i="10" s="1"/>
  <c r="M30" i="9"/>
  <c r="K30" i="9"/>
  <c r="L30" i="9" s="1"/>
  <c r="M29" i="8"/>
  <c r="K29" i="8"/>
  <c r="L29" i="8" s="1"/>
  <c r="M31" i="7"/>
  <c r="K31" i="7"/>
  <c r="L31" i="7" s="1"/>
  <c r="M29" i="6"/>
  <c r="K29" i="6"/>
  <c r="L29" i="6" s="1"/>
  <c r="M28" i="5"/>
  <c r="K28" i="5"/>
  <c r="L28" i="5" s="1"/>
  <c r="M28" i="4"/>
  <c r="K28" i="4"/>
  <c r="L28" i="4" s="1"/>
  <c r="M28" i="3"/>
  <c r="K28" i="3"/>
  <c r="L28" i="3" s="1"/>
  <c r="E13" i="17"/>
  <c r="H3" i="17"/>
  <c r="B58" i="56" l="1"/>
  <c r="F58" i="56"/>
  <c r="W43" i="17"/>
  <c r="N56" i="17"/>
  <c r="D59" i="56" l="1"/>
  <c r="E59" i="56" s="1"/>
  <c r="M17" i="45"/>
  <c r="K17" i="45"/>
  <c r="L17" i="45" s="1"/>
  <c r="M17" i="44"/>
  <c r="K17" i="44"/>
  <c r="L17" i="44" s="1"/>
  <c r="M18" i="42"/>
  <c r="K18" i="42"/>
  <c r="L18" i="42" s="1"/>
  <c r="M18" i="43"/>
  <c r="K18" i="43"/>
  <c r="L18" i="43" s="1"/>
  <c r="M18" i="41"/>
  <c r="K18" i="41"/>
  <c r="L18" i="41" s="1"/>
  <c r="M18" i="40"/>
  <c r="K18" i="40"/>
  <c r="L18" i="40" s="1"/>
  <c r="M19" i="39"/>
  <c r="K19" i="39"/>
  <c r="L19" i="39" s="1"/>
  <c r="M19" i="38"/>
  <c r="K19" i="38"/>
  <c r="L19" i="38" s="1"/>
  <c r="M19" i="37"/>
  <c r="K19" i="37"/>
  <c r="L19" i="37" s="1"/>
  <c r="M22" i="31"/>
  <c r="K22" i="31"/>
  <c r="L22" i="31" s="1"/>
  <c r="M21" i="30"/>
  <c r="K21" i="30"/>
  <c r="L21" i="30" s="1"/>
  <c r="M22" i="29"/>
  <c r="K22" i="29"/>
  <c r="L22" i="29" s="1"/>
  <c r="M22" i="28"/>
  <c r="K22" i="28"/>
  <c r="L22" i="28" s="1"/>
  <c r="M23" i="27"/>
  <c r="K23" i="27"/>
  <c r="L23" i="27" s="1"/>
  <c r="M26" i="25"/>
  <c r="N26" i="25" s="1"/>
  <c r="K26" i="25"/>
  <c r="L26" i="25" s="1"/>
  <c r="M24" i="24"/>
  <c r="N24" i="24" s="1"/>
  <c r="K24" i="24"/>
  <c r="L24" i="24" s="1"/>
  <c r="M25" i="23"/>
  <c r="N25" i="23" s="1"/>
  <c r="K25" i="23"/>
  <c r="L25" i="23" s="1"/>
  <c r="M26" i="22"/>
  <c r="N26" i="22" s="1"/>
  <c r="K26" i="22"/>
  <c r="L26" i="22" s="1"/>
  <c r="M29" i="11"/>
  <c r="N29" i="11" s="1"/>
  <c r="K29" i="11"/>
  <c r="L29" i="11" s="1"/>
  <c r="F59" i="56" l="1"/>
  <c r="B59" i="56"/>
  <c r="O24" i="24"/>
  <c r="O25" i="23"/>
  <c r="O26" i="22"/>
  <c r="D60" i="56" l="1"/>
  <c r="E60" i="56" s="1"/>
  <c r="M30" i="10"/>
  <c r="N30" i="10" s="1"/>
  <c r="K30" i="10"/>
  <c r="L30" i="10" s="1"/>
  <c r="M29" i="9"/>
  <c r="N29" i="9" s="1"/>
  <c r="K29" i="9"/>
  <c r="L29" i="9" s="1"/>
  <c r="M28" i="8"/>
  <c r="N28" i="8" s="1"/>
  <c r="K28" i="8"/>
  <c r="L28" i="8" s="1"/>
  <c r="M30" i="7"/>
  <c r="N30" i="7" s="1"/>
  <c r="K30" i="7"/>
  <c r="L30" i="7" s="1"/>
  <c r="M28" i="6"/>
  <c r="N28" i="6" s="1"/>
  <c r="K28" i="6"/>
  <c r="L28" i="6" s="1"/>
  <c r="M27" i="5"/>
  <c r="N27" i="5" s="1"/>
  <c r="K27" i="5"/>
  <c r="L27" i="5" s="1"/>
  <c r="M27" i="4"/>
  <c r="N27" i="4" s="1"/>
  <c r="K27" i="4"/>
  <c r="L27" i="4" s="1"/>
  <c r="M27" i="3"/>
  <c r="N27" i="3" s="1"/>
  <c r="K27" i="3"/>
  <c r="L27" i="3" s="1"/>
  <c r="B60" i="56" l="1"/>
  <c r="F60" i="56"/>
  <c r="O27" i="4"/>
  <c r="O30" i="10"/>
  <c r="O29" i="9"/>
  <c r="O28" i="8"/>
  <c r="O30" i="7"/>
  <c r="O28" i="6"/>
  <c r="O27" i="5"/>
  <c r="O27" i="3"/>
  <c r="D61" i="56" l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40"/>
  <c r="O99" i="40" s="1"/>
  <c r="L99" i="40"/>
  <c r="M99" i="40" s="1"/>
  <c r="N100" i="39"/>
  <c r="O100" i="39" s="1"/>
  <c r="L100" i="39"/>
  <c r="M100" i="39" s="1"/>
  <c r="N100" i="37"/>
  <c r="O100" i="37" s="1"/>
  <c r="L100" i="37"/>
  <c r="M100" i="37" s="1"/>
  <c r="N103" i="31"/>
  <c r="O103" i="31" s="1"/>
  <c r="L103" i="31"/>
  <c r="M103" i="31" s="1"/>
  <c r="N102" i="30"/>
  <c r="O102" i="30" s="1"/>
  <c r="L102" i="30"/>
  <c r="M102" i="30" s="1"/>
  <c r="N103" i="29"/>
  <c r="O103" i="29" s="1"/>
  <c r="L103" i="29"/>
  <c r="M103" i="29" s="1"/>
  <c r="N103" i="28"/>
  <c r="O103" i="28" s="1"/>
  <c r="L103" i="28"/>
  <c r="M103" i="28" s="1"/>
  <c r="N104" i="27"/>
  <c r="O104" i="27" s="1"/>
  <c r="L104" i="27"/>
  <c r="M104" i="27" s="1"/>
  <c r="N107" i="25"/>
  <c r="O107" i="25" s="1"/>
  <c r="L107" i="25"/>
  <c r="M107" i="25" s="1"/>
  <c r="N105" i="24"/>
  <c r="O105" i="24" s="1"/>
  <c r="L105" i="24"/>
  <c r="M105" i="24" s="1"/>
  <c r="N106" i="23"/>
  <c r="O106" i="23" s="1"/>
  <c r="L106" i="23"/>
  <c r="M106" i="23" s="1"/>
  <c r="N107" i="22"/>
  <c r="O107" i="22" s="1"/>
  <c r="L107" i="22"/>
  <c r="M107" i="22" s="1"/>
  <c r="N110" i="11"/>
  <c r="O110" i="11" s="1"/>
  <c r="L110" i="11"/>
  <c r="M110" i="11" s="1"/>
  <c r="N111" i="10"/>
  <c r="O111" i="10" s="1"/>
  <c r="L111" i="10"/>
  <c r="M111" i="10" s="1"/>
  <c r="N110" i="9"/>
  <c r="O110" i="9" s="1"/>
  <c r="L110" i="9"/>
  <c r="M110" i="9" s="1"/>
  <c r="N109" i="8"/>
  <c r="O109" i="8" s="1"/>
  <c r="L109" i="8"/>
  <c r="M109" i="8" s="1"/>
  <c r="N111" i="7"/>
  <c r="O111" i="7" s="1"/>
  <c r="L111" i="7"/>
  <c r="M111" i="7" s="1"/>
  <c r="N109" i="6"/>
  <c r="O109" i="6" s="1"/>
  <c r="L109" i="6"/>
  <c r="M109" i="6" s="1"/>
  <c r="N108" i="5"/>
  <c r="O108" i="5" s="1"/>
  <c r="L108" i="5"/>
  <c r="M108" i="5" s="1"/>
  <c r="N108" i="4"/>
  <c r="O108" i="4" s="1"/>
  <c r="L108" i="4"/>
  <c r="M108" i="4" s="1"/>
  <c r="N108" i="3"/>
  <c r="O108" i="3" s="1"/>
  <c r="L108" i="3"/>
  <c r="M108" i="3" s="1"/>
  <c r="O56" i="17"/>
  <c r="P44" i="17"/>
  <c r="P43" i="17"/>
  <c r="B61" i="56" l="1"/>
  <c r="E61" i="56"/>
  <c r="F61" i="56" s="1"/>
  <c r="P106" i="23"/>
  <c r="P103" i="28"/>
  <c r="P99" i="42"/>
  <c r="P103" i="31"/>
  <c r="P99" i="41"/>
  <c r="P109" i="6"/>
  <c r="P100" i="37"/>
  <c r="P108" i="5"/>
  <c r="P107" i="22"/>
  <c r="P104" i="27"/>
  <c r="P108" i="4"/>
  <c r="P109" i="8"/>
  <c r="P110" i="11"/>
  <c r="P107" i="25"/>
  <c r="P99" i="40"/>
  <c r="P108" i="3"/>
  <c r="P111" i="7"/>
  <c r="P111" i="10"/>
  <c r="P105" i="24"/>
  <c r="P103" i="29"/>
  <c r="P100" i="39"/>
  <c r="P99" i="43"/>
  <c r="P110" i="9"/>
  <c r="P102" i="30"/>
  <c r="D62" i="56" l="1"/>
  <c r="E62" i="56" s="1"/>
  <c r="J56" i="17"/>
  <c r="F62" i="56" l="1"/>
  <c r="B62" i="56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M17" i="43"/>
  <c r="K17" i="43"/>
  <c r="E36" i="1"/>
  <c r="E35" i="1"/>
  <c r="C36" i="1"/>
  <c r="C35" i="1"/>
  <c r="L19" i="1"/>
  <c r="A2" i="1" s="1"/>
  <c r="I63" i="17"/>
  <c r="I10" i="58" l="1"/>
  <c r="I10" i="59"/>
  <c r="I10" i="57"/>
  <c r="I10" i="56"/>
  <c r="D63" i="56"/>
  <c r="E63" i="56" s="1"/>
  <c r="I10" i="54"/>
  <c r="I10" i="55"/>
  <c r="E99" i="55" s="1"/>
  <c r="F99" i="55" s="1"/>
  <c r="G102" i="17"/>
  <c r="I10" i="48"/>
  <c r="I10" i="49"/>
  <c r="I10" i="47"/>
  <c r="I10" i="27"/>
  <c r="A4" i="1"/>
  <c r="F102" i="17"/>
  <c r="E102" i="17"/>
  <c r="G99" i="55" l="1"/>
  <c r="D100" i="55"/>
  <c r="D92" i="59"/>
  <c r="J96" i="59" s="1"/>
  <c r="D94" i="59"/>
  <c r="D92" i="58"/>
  <c r="J96" i="58" s="1"/>
  <c r="D94" i="56"/>
  <c r="D92" i="56"/>
  <c r="B63" i="56"/>
  <c r="F63" i="56"/>
  <c r="D94" i="55"/>
  <c r="D94" i="54"/>
  <c r="B100" i="47"/>
  <c r="P42" i="17"/>
  <c r="E99" i="58" l="1"/>
  <c r="F99" i="58" s="1"/>
  <c r="E99" i="59"/>
  <c r="F99" i="59" s="1"/>
  <c r="E99" i="56"/>
  <c r="F99" i="56" s="1"/>
  <c r="J96" i="56"/>
  <c r="D64" i="56"/>
  <c r="E64" i="56" s="1"/>
  <c r="B100" i="48"/>
  <c r="E36" i="2"/>
  <c r="E35" i="2"/>
  <c r="C36" i="2"/>
  <c r="C35" i="2"/>
  <c r="C34" i="2"/>
  <c r="D100" i="59" l="1"/>
  <c r="G99" i="59"/>
  <c r="D100" i="58"/>
  <c r="G99" i="58"/>
  <c r="D100" i="56"/>
  <c r="G99" i="56"/>
  <c r="E100" i="56"/>
  <c r="F64" i="56"/>
  <c r="B64" i="56"/>
  <c r="B100" i="49"/>
  <c r="W42" i="17"/>
  <c r="P154" i="46"/>
  <c r="O154" i="46"/>
  <c r="M154" i="46"/>
  <c r="J154" i="46"/>
  <c r="P153" i="46"/>
  <c r="O153" i="46"/>
  <c r="M153" i="46"/>
  <c r="J153" i="46"/>
  <c r="P152" i="46"/>
  <c r="O152" i="46"/>
  <c r="M152" i="46"/>
  <c r="J152" i="46"/>
  <c r="P151" i="46"/>
  <c r="O151" i="46"/>
  <c r="M151" i="46"/>
  <c r="J151" i="46"/>
  <c r="P150" i="46"/>
  <c r="O150" i="46"/>
  <c r="M150" i="46"/>
  <c r="J150" i="46"/>
  <c r="P149" i="46"/>
  <c r="O149" i="46"/>
  <c r="M149" i="46"/>
  <c r="J149" i="46"/>
  <c r="P148" i="46"/>
  <c r="O148" i="46"/>
  <c r="M148" i="46"/>
  <c r="J148" i="46"/>
  <c r="P147" i="46"/>
  <c r="O147" i="46"/>
  <c r="M147" i="46"/>
  <c r="J147" i="46"/>
  <c r="P146" i="46"/>
  <c r="O146" i="46"/>
  <c r="M146" i="46"/>
  <c r="J146" i="46"/>
  <c r="P145" i="46"/>
  <c r="O145" i="46"/>
  <c r="M145" i="46"/>
  <c r="J145" i="46"/>
  <c r="P144" i="46"/>
  <c r="O144" i="46"/>
  <c r="M144" i="46"/>
  <c r="J144" i="46"/>
  <c r="P143" i="46"/>
  <c r="O143" i="46"/>
  <c r="M143" i="46"/>
  <c r="J143" i="46"/>
  <c r="P142" i="46"/>
  <c r="O142" i="46"/>
  <c r="M142" i="46"/>
  <c r="J142" i="46"/>
  <c r="P141" i="46"/>
  <c r="O141" i="46"/>
  <c r="M141" i="46"/>
  <c r="J141" i="46"/>
  <c r="P140" i="46"/>
  <c r="O140" i="46"/>
  <c r="M140" i="46"/>
  <c r="J140" i="46"/>
  <c r="P139" i="46"/>
  <c r="O139" i="46"/>
  <c r="M139" i="46"/>
  <c r="J139" i="46"/>
  <c r="P138" i="46"/>
  <c r="O138" i="46"/>
  <c r="M138" i="46"/>
  <c r="J138" i="46"/>
  <c r="P137" i="46"/>
  <c r="O137" i="46"/>
  <c r="M137" i="46"/>
  <c r="J137" i="46"/>
  <c r="P136" i="46"/>
  <c r="O136" i="46"/>
  <c r="M136" i="46"/>
  <c r="J136" i="46"/>
  <c r="P135" i="46"/>
  <c r="O135" i="46"/>
  <c r="M135" i="46"/>
  <c r="J135" i="46"/>
  <c r="P134" i="46"/>
  <c r="O134" i="46"/>
  <c r="M134" i="46"/>
  <c r="J134" i="46"/>
  <c r="P133" i="46"/>
  <c r="O133" i="46"/>
  <c r="M133" i="46"/>
  <c r="J133" i="46"/>
  <c r="P132" i="46"/>
  <c r="O132" i="46"/>
  <c r="M132" i="46"/>
  <c r="J132" i="46"/>
  <c r="P131" i="46"/>
  <c r="O131" i="46"/>
  <c r="M131" i="46"/>
  <c r="J131" i="46"/>
  <c r="O130" i="46"/>
  <c r="M130" i="46"/>
  <c r="O129" i="46"/>
  <c r="M129" i="46"/>
  <c r="O128" i="46"/>
  <c r="M128" i="46"/>
  <c r="O127" i="46"/>
  <c r="M127" i="46"/>
  <c r="O126" i="46"/>
  <c r="M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M113" i="46"/>
  <c r="O112" i="46"/>
  <c r="M112" i="46"/>
  <c r="O111" i="46"/>
  <c r="M111" i="46"/>
  <c r="O110" i="46"/>
  <c r="M110" i="46"/>
  <c r="O109" i="46"/>
  <c r="M109" i="46"/>
  <c r="O108" i="46"/>
  <c r="M108" i="46"/>
  <c r="O107" i="46"/>
  <c r="M107" i="46"/>
  <c r="O106" i="46"/>
  <c r="M106" i="46"/>
  <c r="O105" i="46"/>
  <c r="M105" i="46"/>
  <c r="O104" i="46"/>
  <c r="M104" i="46"/>
  <c r="O99" i="46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6" i="46"/>
  <c r="L93" i="46"/>
  <c r="J93" i="46"/>
  <c r="N72" i="46"/>
  <c r="L72" i="46"/>
  <c r="N71" i="46"/>
  <c r="L71" i="46"/>
  <c r="N70" i="46"/>
  <c r="L70" i="46"/>
  <c r="N69" i="46"/>
  <c r="L69" i="46"/>
  <c r="N68" i="46"/>
  <c r="L68" i="46"/>
  <c r="N67" i="46"/>
  <c r="L67" i="46"/>
  <c r="N66" i="46"/>
  <c r="L66" i="46"/>
  <c r="N65" i="46"/>
  <c r="L65" i="46"/>
  <c r="N64" i="46"/>
  <c r="L64" i="46"/>
  <c r="N63" i="46"/>
  <c r="L63" i="46"/>
  <c r="N62" i="46"/>
  <c r="L62" i="46"/>
  <c r="N61" i="46"/>
  <c r="L61" i="46"/>
  <c r="N60" i="46"/>
  <c r="L60" i="46"/>
  <c r="N59" i="46"/>
  <c r="L59" i="46"/>
  <c r="N58" i="46"/>
  <c r="L58" i="46"/>
  <c r="N57" i="46"/>
  <c r="L57" i="46"/>
  <c r="N56" i="46"/>
  <c r="L56" i="46"/>
  <c r="N55" i="46"/>
  <c r="L55" i="46"/>
  <c r="N54" i="46"/>
  <c r="L54" i="46"/>
  <c r="N53" i="46"/>
  <c r="L53" i="46"/>
  <c r="N52" i="46"/>
  <c r="L52" i="46"/>
  <c r="N51" i="46"/>
  <c r="L51" i="46"/>
  <c r="N50" i="46"/>
  <c r="L50" i="46"/>
  <c r="N49" i="46"/>
  <c r="L49" i="46"/>
  <c r="N48" i="46"/>
  <c r="L48" i="46"/>
  <c r="N47" i="46"/>
  <c r="L47" i="46"/>
  <c r="N46" i="46"/>
  <c r="L46" i="46"/>
  <c r="N45" i="46"/>
  <c r="L45" i="46"/>
  <c r="N44" i="46"/>
  <c r="L44" i="46"/>
  <c r="N43" i="46"/>
  <c r="L43" i="46"/>
  <c r="N42" i="46"/>
  <c r="L42" i="46"/>
  <c r="N41" i="46"/>
  <c r="L41" i="46"/>
  <c r="N40" i="46"/>
  <c r="L40" i="46"/>
  <c r="N39" i="46"/>
  <c r="L39" i="46"/>
  <c r="N38" i="46"/>
  <c r="L38" i="46"/>
  <c r="N37" i="46"/>
  <c r="L37" i="46"/>
  <c r="N36" i="46"/>
  <c r="L36" i="46"/>
  <c r="N35" i="46"/>
  <c r="L35" i="46"/>
  <c r="N34" i="46"/>
  <c r="L34" i="46"/>
  <c r="N33" i="46"/>
  <c r="L33" i="46"/>
  <c r="N32" i="46"/>
  <c r="L32" i="46"/>
  <c r="N31" i="46"/>
  <c r="L31" i="46"/>
  <c r="N30" i="46"/>
  <c r="L30" i="46"/>
  <c r="N29" i="46"/>
  <c r="L29" i="46"/>
  <c r="N28" i="46"/>
  <c r="L28" i="46"/>
  <c r="N27" i="46"/>
  <c r="L27" i="46"/>
  <c r="N26" i="46"/>
  <c r="L26" i="46"/>
  <c r="N25" i="46"/>
  <c r="L25" i="46"/>
  <c r="N24" i="46"/>
  <c r="L24" i="46"/>
  <c r="N23" i="46"/>
  <c r="L23" i="46"/>
  <c r="N19" i="46"/>
  <c r="N18" i="46"/>
  <c r="N17" i="46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K11" i="46"/>
  <c r="I11" i="46"/>
  <c r="P83" i="46"/>
  <c r="P154" i="45"/>
  <c r="O154" i="45"/>
  <c r="M154" i="45"/>
  <c r="J154" i="45"/>
  <c r="P153" i="45"/>
  <c r="O153" i="45"/>
  <c r="M153" i="45"/>
  <c r="J153" i="45"/>
  <c r="P152" i="45"/>
  <c r="O152" i="45"/>
  <c r="M152" i="45"/>
  <c r="J152" i="45"/>
  <c r="P151" i="45"/>
  <c r="O151" i="45"/>
  <c r="M151" i="45"/>
  <c r="J151" i="45"/>
  <c r="P150" i="45"/>
  <c r="O150" i="45"/>
  <c r="M150" i="45"/>
  <c r="J150" i="45"/>
  <c r="P149" i="45"/>
  <c r="O149" i="45"/>
  <c r="M149" i="45"/>
  <c r="J149" i="45"/>
  <c r="P148" i="45"/>
  <c r="O148" i="45"/>
  <c r="M148" i="45"/>
  <c r="J148" i="45"/>
  <c r="P147" i="45"/>
  <c r="O147" i="45"/>
  <c r="M147" i="45"/>
  <c r="J147" i="45"/>
  <c r="P146" i="45"/>
  <c r="O146" i="45"/>
  <c r="M146" i="45"/>
  <c r="J146" i="45"/>
  <c r="P145" i="45"/>
  <c r="O145" i="45"/>
  <c r="M145" i="45"/>
  <c r="J145" i="45"/>
  <c r="P144" i="45"/>
  <c r="O144" i="45"/>
  <c r="M144" i="45"/>
  <c r="J144" i="45"/>
  <c r="P143" i="45"/>
  <c r="O143" i="45"/>
  <c r="M143" i="45"/>
  <c r="J143" i="45"/>
  <c r="P142" i="45"/>
  <c r="O142" i="45"/>
  <c r="M142" i="45"/>
  <c r="J142" i="45"/>
  <c r="P141" i="45"/>
  <c r="O141" i="45"/>
  <c r="M141" i="45"/>
  <c r="J141" i="45"/>
  <c r="P140" i="45"/>
  <c r="O140" i="45"/>
  <c r="M140" i="45"/>
  <c r="J140" i="45"/>
  <c r="P139" i="45"/>
  <c r="O139" i="45"/>
  <c r="M139" i="45"/>
  <c r="J139" i="45"/>
  <c r="P138" i="45"/>
  <c r="O138" i="45"/>
  <c r="M138" i="45"/>
  <c r="J138" i="45"/>
  <c r="P137" i="45"/>
  <c r="O137" i="45"/>
  <c r="M137" i="45"/>
  <c r="J137" i="45"/>
  <c r="P136" i="45"/>
  <c r="O136" i="45"/>
  <c r="M136" i="45"/>
  <c r="J136" i="45"/>
  <c r="P135" i="45"/>
  <c r="O135" i="45"/>
  <c r="M135" i="45"/>
  <c r="J135" i="45"/>
  <c r="P134" i="45"/>
  <c r="O134" i="45"/>
  <c r="M134" i="45"/>
  <c r="J134" i="45"/>
  <c r="P133" i="45"/>
  <c r="O133" i="45"/>
  <c r="M133" i="45"/>
  <c r="J133" i="45"/>
  <c r="P132" i="45"/>
  <c r="O132" i="45"/>
  <c r="M132" i="45"/>
  <c r="J132" i="45"/>
  <c r="P131" i="45"/>
  <c r="O131" i="45"/>
  <c r="M131" i="45"/>
  <c r="J131" i="45"/>
  <c r="O130" i="45"/>
  <c r="M130" i="45"/>
  <c r="O129" i="45"/>
  <c r="M129" i="45"/>
  <c r="O128" i="45"/>
  <c r="M128" i="45"/>
  <c r="O127" i="45"/>
  <c r="M127" i="45"/>
  <c r="O126" i="45"/>
  <c r="M126" i="45"/>
  <c r="O125" i="45"/>
  <c r="M125" i="45"/>
  <c r="O124" i="45"/>
  <c r="M124" i="45"/>
  <c r="O123" i="45"/>
  <c r="M123" i="45"/>
  <c r="O122" i="45"/>
  <c r="M122" i="45"/>
  <c r="O121" i="45"/>
  <c r="M121" i="45"/>
  <c r="O120" i="45"/>
  <c r="M120" i="45"/>
  <c r="O119" i="45"/>
  <c r="M119" i="45"/>
  <c r="O118" i="45"/>
  <c r="M118" i="45"/>
  <c r="O117" i="45"/>
  <c r="M117" i="45"/>
  <c r="O116" i="45"/>
  <c r="M116" i="45"/>
  <c r="O115" i="45"/>
  <c r="M115" i="45"/>
  <c r="O114" i="45"/>
  <c r="M114" i="45"/>
  <c r="O113" i="45"/>
  <c r="M113" i="45"/>
  <c r="O112" i="45"/>
  <c r="M112" i="45"/>
  <c r="O111" i="45"/>
  <c r="M111" i="45"/>
  <c r="O110" i="45"/>
  <c r="M110" i="45"/>
  <c r="O109" i="45"/>
  <c r="M109" i="45"/>
  <c r="O108" i="45"/>
  <c r="M108" i="45"/>
  <c r="O107" i="45"/>
  <c r="M107" i="45"/>
  <c r="O106" i="45"/>
  <c r="M106" i="45"/>
  <c r="O105" i="45"/>
  <c r="M105" i="45"/>
  <c r="O100" i="45"/>
  <c r="O99" i="4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6" i="45"/>
  <c r="L93" i="45"/>
  <c r="J93" i="45"/>
  <c r="D91" i="45"/>
  <c r="D89" i="45"/>
  <c r="N72" i="45"/>
  <c r="L72" i="45"/>
  <c r="N71" i="45"/>
  <c r="L71" i="45"/>
  <c r="N70" i="45"/>
  <c r="L70" i="45"/>
  <c r="N69" i="45"/>
  <c r="L69" i="45"/>
  <c r="N68" i="45"/>
  <c r="L68" i="45"/>
  <c r="N67" i="45"/>
  <c r="L67" i="45"/>
  <c r="N66" i="45"/>
  <c r="L66" i="45"/>
  <c r="N65" i="45"/>
  <c r="L65" i="45"/>
  <c r="N64" i="45"/>
  <c r="L64" i="45"/>
  <c r="N63" i="45"/>
  <c r="L63" i="45"/>
  <c r="N62" i="45"/>
  <c r="L62" i="45"/>
  <c r="N61" i="45"/>
  <c r="L61" i="45"/>
  <c r="N60" i="45"/>
  <c r="L60" i="45"/>
  <c r="N59" i="45"/>
  <c r="L59" i="45"/>
  <c r="N58" i="45"/>
  <c r="L58" i="45"/>
  <c r="N57" i="45"/>
  <c r="L57" i="45"/>
  <c r="N56" i="45"/>
  <c r="L56" i="45"/>
  <c r="N55" i="45"/>
  <c r="L55" i="45"/>
  <c r="N54" i="45"/>
  <c r="L54" i="45"/>
  <c r="N53" i="45"/>
  <c r="L53" i="45"/>
  <c r="N52" i="45"/>
  <c r="L52" i="45"/>
  <c r="N51" i="45"/>
  <c r="L51" i="45"/>
  <c r="N50" i="45"/>
  <c r="L50" i="45"/>
  <c r="N49" i="45"/>
  <c r="L49" i="45"/>
  <c r="N48" i="45"/>
  <c r="L48" i="45"/>
  <c r="N47" i="45"/>
  <c r="L47" i="45"/>
  <c r="N46" i="45"/>
  <c r="L46" i="45"/>
  <c r="N45" i="45"/>
  <c r="L45" i="45"/>
  <c r="N44" i="45"/>
  <c r="L44" i="45"/>
  <c r="N43" i="45"/>
  <c r="L43" i="45"/>
  <c r="N42" i="45"/>
  <c r="L42" i="45"/>
  <c r="N41" i="45"/>
  <c r="L41" i="45"/>
  <c r="N40" i="45"/>
  <c r="L40" i="45"/>
  <c r="N39" i="45"/>
  <c r="L39" i="45"/>
  <c r="N38" i="45"/>
  <c r="L38" i="45"/>
  <c r="N37" i="45"/>
  <c r="L37" i="45"/>
  <c r="N36" i="45"/>
  <c r="L36" i="45"/>
  <c r="N35" i="45"/>
  <c r="L35" i="45"/>
  <c r="N34" i="45"/>
  <c r="L34" i="45"/>
  <c r="N33" i="45"/>
  <c r="L33" i="45"/>
  <c r="N32" i="45"/>
  <c r="L32" i="45"/>
  <c r="N31" i="45"/>
  <c r="L31" i="45"/>
  <c r="N30" i="45"/>
  <c r="L30" i="45"/>
  <c r="N29" i="45"/>
  <c r="L29" i="45"/>
  <c r="N28" i="45"/>
  <c r="L28" i="45"/>
  <c r="N27" i="45"/>
  <c r="L27" i="45"/>
  <c r="N26" i="45"/>
  <c r="L26" i="45"/>
  <c r="N25" i="45"/>
  <c r="L25" i="45"/>
  <c r="N24" i="45"/>
  <c r="L24" i="45"/>
  <c r="N20" i="45"/>
  <c r="N19" i="45"/>
  <c r="N17" i="45"/>
  <c r="C17" i="45"/>
  <c r="K11" i="45"/>
  <c r="I11" i="45"/>
  <c r="D90" i="45"/>
  <c r="P83" i="45"/>
  <c r="P154" i="44"/>
  <c r="O154" i="44"/>
  <c r="M154" i="44"/>
  <c r="J154" i="44"/>
  <c r="P153" i="44"/>
  <c r="O153" i="44"/>
  <c r="M153" i="44"/>
  <c r="J153" i="44"/>
  <c r="P152" i="44"/>
  <c r="O152" i="44"/>
  <c r="M152" i="44"/>
  <c r="J152" i="44"/>
  <c r="P151" i="44"/>
  <c r="O151" i="44"/>
  <c r="M151" i="44"/>
  <c r="J151" i="44"/>
  <c r="P150" i="44"/>
  <c r="O150" i="44"/>
  <c r="M150" i="44"/>
  <c r="J150" i="44"/>
  <c r="P149" i="44"/>
  <c r="O149" i="44"/>
  <c r="M149" i="44"/>
  <c r="J149" i="44"/>
  <c r="P148" i="44"/>
  <c r="O148" i="44"/>
  <c r="M148" i="44"/>
  <c r="J148" i="44"/>
  <c r="P147" i="44"/>
  <c r="O147" i="44"/>
  <c r="M147" i="44"/>
  <c r="J147" i="44"/>
  <c r="P146" i="44"/>
  <c r="O146" i="44"/>
  <c r="M146" i="44"/>
  <c r="J146" i="44"/>
  <c r="P145" i="44"/>
  <c r="O145" i="44"/>
  <c r="M145" i="44"/>
  <c r="J145" i="44"/>
  <c r="P144" i="44"/>
  <c r="O144" i="44"/>
  <c r="M144" i="44"/>
  <c r="J144" i="44"/>
  <c r="P143" i="44"/>
  <c r="O143" i="44"/>
  <c r="M143" i="44"/>
  <c r="J143" i="44"/>
  <c r="P142" i="44"/>
  <c r="O142" i="44"/>
  <c r="M142" i="44"/>
  <c r="J142" i="44"/>
  <c r="P141" i="44"/>
  <c r="O141" i="44"/>
  <c r="M141" i="44"/>
  <c r="J141" i="44"/>
  <c r="P140" i="44"/>
  <c r="O140" i="44"/>
  <c r="M140" i="44"/>
  <c r="J140" i="44"/>
  <c r="P139" i="44"/>
  <c r="O139" i="44"/>
  <c r="M139" i="44"/>
  <c r="J139" i="44"/>
  <c r="P138" i="44"/>
  <c r="O138" i="44"/>
  <c r="M138" i="44"/>
  <c r="J138" i="44"/>
  <c r="P137" i="44"/>
  <c r="O137" i="44"/>
  <c r="M137" i="44"/>
  <c r="J137" i="44"/>
  <c r="P136" i="44"/>
  <c r="O136" i="44"/>
  <c r="M136" i="44"/>
  <c r="J136" i="44"/>
  <c r="P135" i="44"/>
  <c r="O135" i="44"/>
  <c r="M135" i="44"/>
  <c r="J135" i="44"/>
  <c r="P134" i="44"/>
  <c r="O134" i="44"/>
  <c r="M134" i="44"/>
  <c r="J134" i="44"/>
  <c r="P133" i="44"/>
  <c r="O133" i="44"/>
  <c r="M133" i="44"/>
  <c r="J133" i="44"/>
  <c r="P132" i="44"/>
  <c r="O132" i="44"/>
  <c r="M132" i="44"/>
  <c r="J132" i="44"/>
  <c r="P131" i="44"/>
  <c r="O131" i="44"/>
  <c r="M131" i="44"/>
  <c r="J131" i="44"/>
  <c r="O130" i="44"/>
  <c r="M130" i="44"/>
  <c r="O129" i="44"/>
  <c r="M129" i="44"/>
  <c r="O128" i="44"/>
  <c r="M128" i="44"/>
  <c r="O127" i="44"/>
  <c r="M127" i="44"/>
  <c r="O126" i="44"/>
  <c r="M126" i="44"/>
  <c r="O125" i="44"/>
  <c r="M125" i="44"/>
  <c r="O124" i="44"/>
  <c r="M124" i="44"/>
  <c r="O123" i="44"/>
  <c r="M123" i="44"/>
  <c r="O122" i="44"/>
  <c r="M122" i="44"/>
  <c r="O121" i="44"/>
  <c r="M121" i="44"/>
  <c r="O120" i="44"/>
  <c r="M120" i="44"/>
  <c r="O119" i="44"/>
  <c r="M119" i="44"/>
  <c r="O118" i="44"/>
  <c r="M118" i="44"/>
  <c r="O117" i="44"/>
  <c r="M117" i="44"/>
  <c r="O116" i="44"/>
  <c r="M116" i="44"/>
  <c r="O115" i="44"/>
  <c r="M115" i="44"/>
  <c r="O114" i="44"/>
  <c r="M114" i="44"/>
  <c r="O113" i="44"/>
  <c r="M113" i="44"/>
  <c r="O112" i="44"/>
  <c r="M112" i="44"/>
  <c r="O111" i="44"/>
  <c r="M111" i="44"/>
  <c r="O110" i="44"/>
  <c r="M110" i="44"/>
  <c r="O109" i="44"/>
  <c r="M109" i="44"/>
  <c r="O108" i="44"/>
  <c r="M108" i="44"/>
  <c r="O107" i="44"/>
  <c r="M107" i="44"/>
  <c r="O106" i="44"/>
  <c r="M106" i="44"/>
  <c r="O105" i="44"/>
  <c r="M105" i="44"/>
  <c r="O100" i="44"/>
  <c r="O99" i="44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6" i="44"/>
  <c r="L93" i="44"/>
  <c r="J93" i="44"/>
  <c r="D91" i="44"/>
  <c r="D89" i="44"/>
  <c r="N72" i="44"/>
  <c r="L72" i="44"/>
  <c r="N71" i="44"/>
  <c r="L71" i="44"/>
  <c r="N70" i="44"/>
  <c r="L70" i="44"/>
  <c r="N69" i="44"/>
  <c r="L69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2" i="44"/>
  <c r="L62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5" i="44"/>
  <c r="L55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8" i="44"/>
  <c r="L48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1" i="44"/>
  <c r="L41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4" i="44"/>
  <c r="L34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7" i="44"/>
  <c r="L27" i="44"/>
  <c r="N26" i="44"/>
  <c r="L26" i="44"/>
  <c r="N25" i="44"/>
  <c r="L25" i="44"/>
  <c r="N24" i="44"/>
  <c r="L24" i="44"/>
  <c r="N20" i="44"/>
  <c r="N19" i="44"/>
  <c r="N18" i="44"/>
  <c r="N17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1" i="44"/>
  <c r="I11" i="44"/>
  <c r="D90" i="44"/>
  <c r="P83" i="44"/>
  <c r="P154" i="43"/>
  <c r="O154" i="43"/>
  <c r="M154" i="43"/>
  <c r="J154" i="43"/>
  <c r="P153" i="43"/>
  <c r="O153" i="43"/>
  <c r="M153" i="43"/>
  <c r="J153" i="43"/>
  <c r="P152" i="43"/>
  <c r="O152" i="43"/>
  <c r="M152" i="43"/>
  <c r="J152" i="43"/>
  <c r="P151" i="43"/>
  <c r="O151" i="43"/>
  <c r="M151" i="43"/>
  <c r="J151" i="43"/>
  <c r="P150" i="43"/>
  <c r="O150" i="43"/>
  <c r="M150" i="43"/>
  <c r="J150" i="43"/>
  <c r="P149" i="43"/>
  <c r="O149" i="43"/>
  <c r="M149" i="43"/>
  <c r="J149" i="43"/>
  <c r="P148" i="43"/>
  <c r="O148" i="43"/>
  <c r="M148" i="43"/>
  <c r="J148" i="43"/>
  <c r="P147" i="43"/>
  <c r="O147" i="43"/>
  <c r="M147" i="43"/>
  <c r="J147" i="43"/>
  <c r="P146" i="43"/>
  <c r="O146" i="43"/>
  <c r="M146" i="43"/>
  <c r="J146" i="43"/>
  <c r="P145" i="43"/>
  <c r="O145" i="43"/>
  <c r="M145" i="43"/>
  <c r="J145" i="43"/>
  <c r="P144" i="43"/>
  <c r="O144" i="43"/>
  <c r="M144" i="43"/>
  <c r="J144" i="43"/>
  <c r="P143" i="43"/>
  <c r="O143" i="43"/>
  <c r="M143" i="43"/>
  <c r="J143" i="43"/>
  <c r="P142" i="43"/>
  <c r="O142" i="43"/>
  <c r="M142" i="43"/>
  <c r="J142" i="43"/>
  <c r="P141" i="43"/>
  <c r="O141" i="43"/>
  <c r="M141" i="43"/>
  <c r="J141" i="43"/>
  <c r="P140" i="43"/>
  <c r="O140" i="43"/>
  <c r="M140" i="43"/>
  <c r="J140" i="43"/>
  <c r="P139" i="43"/>
  <c r="O139" i="43"/>
  <c r="M139" i="43"/>
  <c r="J139" i="43"/>
  <c r="P138" i="43"/>
  <c r="O138" i="43"/>
  <c r="M138" i="43"/>
  <c r="J138" i="43"/>
  <c r="P137" i="43"/>
  <c r="O137" i="43"/>
  <c r="M137" i="43"/>
  <c r="J137" i="43"/>
  <c r="P136" i="43"/>
  <c r="O136" i="43"/>
  <c r="M136" i="43"/>
  <c r="J136" i="43"/>
  <c r="P135" i="43"/>
  <c r="O135" i="43"/>
  <c r="M135" i="43"/>
  <c r="J135" i="43"/>
  <c r="P134" i="43"/>
  <c r="O134" i="43"/>
  <c r="M134" i="43"/>
  <c r="J134" i="43"/>
  <c r="P133" i="43"/>
  <c r="O133" i="43"/>
  <c r="M133" i="43"/>
  <c r="J133" i="43"/>
  <c r="P132" i="43"/>
  <c r="O132" i="43"/>
  <c r="M132" i="43"/>
  <c r="J132" i="43"/>
  <c r="P131" i="43"/>
  <c r="O131" i="43"/>
  <c r="M131" i="43"/>
  <c r="J131" i="43"/>
  <c r="O130" i="43"/>
  <c r="M130" i="43"/>
  <c r="O129" i="43"/>
  <c r="M129" i="43"/>
  <c r="O128" i="43"/>
  <c r="M128" i="43"/>
  <c r="O127" i="43"/>
  <c r="M127" i="43"/>
  <c r="O126" i="43"/>
  <c r="M126" i="43"/>
  <c r="O125" i="43"/>
  <c r="M125" i="43"/>
  <c r="O124" i="43"/>
  <c r="M124" i="43"/>
  <c r="O123" i="43"/>
  <c r="M123" i="43"/>
  <c r="O122" i="43"/>
  <c r="M122" i="43"/>
  <c r="O121" i="43"/>
  <c r="M121" i="43"/>
  <c r="O120" i="43"/>
  <c r="M120" i="43"/>
  <c r="O119" i="43"/>
  <c r="M119" i="43"/>
  <c r="O118" i="43"/>
  <c r="M118" i="43"/>
  <c r="O117" i="43"/>
  <c r="M117" i="43"/>
  <c r="O116" i="43"/>
  <c r="M116" i="43"/>
  <c r="O115" i="43"/>
  <c r="M115" i="43"/>
  <c r="O114" i="43"/>
  <c r="M114" i="43"/>
  <c r="O113" i="43"/>
  <c r="M113" i="43"/>
  <c r="O112" i="43"/>
  <c r="M112" i="43"/>
  <c r="O111" i="43"/>
  <c r="M111" i="43"/>
  <c r="O110" i="43"/>
  <c r="M110" i="43"/>
  <c r="O109" i="43"/>
  <c r="M109" i="43"/>
  <c r="O108" i="43"/>
  <c r="M108" i="43"/>
  <c r="O107" i="43"/>
  <c r="M107" i="43"/>
  <c r="O106" i="43"/>
  <c r="M106" i="43"/>
  <c r="O101" i="43"/>
  <c r="O100" i="4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D96" i="43"/>
  <c r="L93" i="43"/>
  <c r="J93" i="43"/>
  <c r="D91" i="43"/>
  <c r="D89" i="43"/>
  <c r="N72" i="43"/>
  <c r="L72" i="43"/>
  <c r="N71" i="43"/>
  <c r="L71" i="43"/>
  <c r="N70" i="43"/>
  <c r="L70" i="43"/>
  <c r="N69" i="43"/>
  <c r="L69" i="43"/>
  <c r="N68" i="43"/>
  <c r="L68" i="43"/>
  <c r="N67" i="43"/>
  <c r="L67" i="43"/>
  <c r="N66" i="43"/>
  <c r="L66" i="43"/>
  <c r="N65" i="43"/>
  <c r="L65" i="43"/>
  <c r="N64" i="43"/>
  <c r="L64" i="43"/>
  <c r="N63" i="43"/>
  <c r="L63" i="43"/>
  <c r="N62" i="43"/>
  <c r="L62" i="43"/>
  <c r="N61" i="43"/>
  <c r="L61" i="43"/>
  <c r="N60" i="43"/>
  <c r="L60" i="43"/>
  <c r="N59" i="43"/>
  <c r="L59" i="43"/>
  <c r="N58" i="43"/>
  <c r="L58" i="43"/>
  <c r="N57" i="43"/>
  <c r="L57" i="43"/>
  <c r="N56" i="43"/>
  <c r="L56" i="43"/>
  <c r="N55" i="43"/>
  <c r="L55" i="43"/>
  <c r="N54" i="43"/>
  <c r="L54" i="43"/>
  <c r="N53" i="43"/>
  <c r="L53" i="43"/>
  <c r="N52" i="43"/>
  <c r="L52" i="43"/>
  <c r="N51" i="43"/>
  <c r="L51" i="43"/>
  <c r="N50" i="43"/>
  <c r="L50" i="43"/>
  <c r="N49" i="43"/>
  <c r="L49" i="43"/>
  <c r="N48" i="43"/>
  <c r="L48" i="43"/>
  <c r="N47" i="43"/>
  <c r="L47" i="43"/>
  <c r="N46" i="43"/>
  <c r="L46" i="43"/>
  <c r="N45" i="43"/>
  <c r="L45" i="43"/>
  <c r="N44" i="43"/>
  <c r="L44" i="43"/>
  <c r="N43" i="43"/>
  <c r="L43" i="43"/>
  <c r="N42" i="43"/>
  <c r="L42" i="43"/>
  <c r="N41" i="43"/>
  <c r="L41" i="43"/>
  <c r="N40" i="43"/>
  <c r="L40" i="43"/>
  <c r="N39" i="43"/>
  <c r="L39" i="43"/>
  <c r="N38" i="43"/>
  <c r="L38" i="43"/>
  <c r="N37" i="43"/>
  <c r="L37" i="43"/>
  <c r="N36" i="43"/>
  <c r="L36" i="43"/>
  <c r="N35" i="43"/>
  <c r="L35" i="43"/>
  <c r="N34" i="43"/>
  <c r="L34" i="43"/>
  <c r="N33" i="43"/>
  <c r="L33" i="43"/>
  <c r="N32" i="43"/>
  <c r="L32" i="43"/>
  <c r="N31" i="43"/>
  <c r="L31" i="43"/>
  <c r="N30" i="43"/>
  <c r="L30" i="43"/>
  <c r="N29" i="43"/>
  <c r="L29" i="43"/>
  <c r="N28" i="43"/>
  <c r="L28" i="43"/>
  <c r="N27" i="43"/>
  <c r="L27" i="43"/>
  <c r="N26" i="43"/>
  <c r="L26" i="43"/>
  <c r="N25" i="43"/>
  <c r="L25" i="43"/>
  <c r="N21" i="43"/>
  <c r="N20" i="43"/>
  <c r="N19" i="43"/>
  <c r="N18" i="43"/>
  <c r="N17" i="43"/>
  <c r="L17" i="43"/>
  <c r="C17" i="43"/>
  <c r="K11" i="43"/>
  <c r="I11" i="43"/>
  <c r="D8" i="43"/>
  <c r="D90" i="43" s="1"/>
  <c r="P83" i="43"/>
  <c r="M17" i="42"/>
  <c r="N17" i="42" s="1"/>
  <c r="K17" i="42"/>
  <c r="L17" i="42" s="1"/>
  <c r="M17" i="41"/>
  <c r="N17" i="41" s="1"/>
  <c r="K17" i="41"/>
  <c r="L17" i="41" s="1"/>
  <c r="M17" i="40"/>
  <c r="N17" i="40" s="1"/>
  <c r="K17" i="40"/>
  <c r="L17" i="40" s="1"/>
  <c r="N99" i="39"/>
  <c r="O99" i="39" s="1"/>
  <c r="L99" i="39"/>
  <c r="M18" i="39"/>
  <c r="K18" i="39"/>
  <c r="L18" i="39" s="1"/>
  <c r="N99" i="38"/>
  <c r="O99" i="38" s="1"/>
  <c r="L99" i="38"/>
  <c r="M99" i="38" s="1"/>
  <c r="M18" i="38"/>
  <c r="N18" i="38" s="1"/>
  <c r="K18" i="38"/>
  <c r="L18" i="38" s="1"/>
  <c r="N99" i="37"/>
  <c r="O99" i="37" s="1"/>
  <c r="L99" i="37"/>
  <c r="M99" i="37" s="1"/>
  <c r="M18" i="37"/>
  <c r="N18" i="37" s="1"/>
  <c r="K18" i="37"/>
  <c r="L18" i="37" s="1"/>
  <c r="N102" i="31"/>
  <c r="O102" i="31" s="1"/>
  <c r="L102" i="31"/>
  <c r="M102" i="31" s="1"/>
  <c r="M21" i="31"/>
  <c r="N21" i="31" s="1"/>
  <c r="K21" i="31"/>
  <c r="L21" i="31" s="1"/>
  <c r="N101" i="30"/>
  <c r="O101" i="30" s="1"/>
  <c r="L101" i="30"/>
  <c r="M101" i="30" s="1"/>
  <c r="M20" i="30"/>
  <c r="N20" i="30" s="1"/>
  <c r="K20" i="30"/>
  <c r="N102" i="29"/>
  <c r="O102" i="29" s="1"/>
  <c r="L102" i="29"/>
  <c r="M102" i="29" s="1"/>
  <c r="M21" i="29"/>
  <c r="N21" i="29" s="1"/>
  <c r="K21" i="29"/>
  <c r="L21" i="29" s="1"/>
  <c r="N102" i="28"/>
  <c r="O102" i="28" s="1"/>
  <c r="L102" i="28"/>
  <c r="M102" i="28" s="1"/>
  <c r="M21" i="28"/>
  <c r="N21" i="28" s="1"/>
  <c r="K21" i="28"/>
  <c r="L21" i="28" s="1"/>
  <c r="N103" i="27"/>
  <c r="O103" i="27" s="1"/>
  <c r="L103" i="27"/>
  <c r="M103" i="27" s="1"/>
  <c r="M22" i="27"/>
  <c r="N22" i="27" s="1"/>
  <c r="K22" i="27"/>
  <c r="L22" i="27" s="1"/>
  <c r="N106" i="25"/>
  <c r="O106" i="25" s="1"/>
  <c r="L106" i="25"/>
  <c r="M106" i="25" s="1"/>
  <c r="M25" i="25"/>
  <c r="N25" i="25" s="1"/>
  <c r="K25" i="25"/>
  <c r="L25" i="25" s="1"/>
  <c r="N104" i="24"/>
  <c r="O104" i="24" s="1"/>
  <c r="L104" i="24"/>
  <c r="M104" i="24" s="1"/>
  <c r="M23" i="24"/>
  <c r="N23" i="24" s="1"/>
  <c r="K23" i="24"/>
  <c r="L23" i="24" s="1"/>
  <c r="N105" i="23"/>
  <c r="O105" i="23" s="1"/>
  <c r="L105" i="23"/>
  <c r="M105" i="23" s="1"/>
  <c r="M24" i="23"/>
  <c r="N24" i="23" s="1"/>
  <c r="K24" i="23"/>
  <c r="L24" i="23" s="1"/>
  <c r="N106" i="22"/>
  <c r="O106" i="22" s="1"/>
  <c r="L106" i="22"/>
  <c r="M106" i="22" s="1"/>
  <c r="M25" i="22"/>
  <c r="N25" i="22" s="1"/>
  <c r="K25" i="22"/>
  <c r="L25" i="22" s="1"/>
  <c r="N109" i="11"/>
  <c r="O109" i="11" s="1"/>
  <c r="L109" i="11"/>
  <c r="M109" i="11" s="1"/>
  <c r="M28" i="11"/>
  <c r="N28" i="11" s="1"/>
  <c r="K28" i="11"/>
  <c r="L28" i="11" s="1"/>
  <c r="N110" i="10"/>
  <c r="O110" i="10" s="1"/>
  <c r="L110" i="10"/>
  <c r="M110" i="10" s="1"/>
  <c r="M29" i="10"/>
  <c r="N29" i="10" s="1"/>
  <c r="K29" i="10"/>
  <c r="L29" i="10" s="1"/>
  <c r="N109" i="9"/>
  <c r="O109" i="9" s="1"/>
  <c r="L109" i="9"/>
  <c r="M109" i="9" s="1"/>
  <c r="M28" i="9"/>
  <c r="N28" i="9" s="1"/>
  <c r="K28" i="9"/>
  <c r="L28" i="9" s="1"/>
  <c r="N108" i="8"/>
  <c r="O108" i="8" s="1"/>
  <c r="L108" i="8"/>
  <c r="M108" i="8" s="1"/>
  <c r="M27" i="8"/>
  <c r="N27" i="8" s="1"/>
  <c r="K27" i="8"/>
  <c r="L27" i="8" s="1"/>
  <c r="N110" i="7"/>
  <c r="O110" i="7" s="1"/>
  <c r="L110" i="7"/>
  <c r="M110" i="7" s="1"/>
  <c r="M29" i="7"/>
  <c r="N29" i="7" s="1"/>
  <c r="K29" i="7"/>
  <c r="L29" i="7" s="1"/>
  <c r="N108" i="6"/>
  <c r="O108" i="6" s="1"/>
  <c r="L108" i="6"/>
  <c r="M108" i="6" s="1"/>
  <c r="M27" i="6"/>
  <c r="N27" i="6" s="1"/>
  <c r="K27" i="6"/>
  <c r="L27" i="6" s="1"/>
  <c r="N107" i="5"/>
  <c r="O107" i="5" s="1"/>
  <c r="L107" i="5"/>
  <c r="M107" i="5" s="1"/>
  <c r="M26" i="5"/>
  <c r="N26" i="5" s="1"/>
  <c r="K26" i="5"/>
  <c r="L26" i="5" s="1"/>
  <c r="N107" i="4"/>
  <c r="O107" i="4" s="1"/>
  <c r="L107" i="4"/>
  <c r="M107" i="4" s="1"/>
  <c r="M26" i="4"/>
  <c r="N26" i="4" s="1"/>
  <c r="K26" i="4"/>
  <c r="L26" i="4" s="1"/>
  <c r="N107" i="3"/>
  <c r="O107" i="3" s="1"/>
  <c r="L107" i="3"/>
  <c r="M107" i="3" s="1"/>
  <c r="M26" i="3"/>
  <c r="N26" i="3" s="1"/>
  <c r="K26" i="3"/>
  <c r="L26" i="3" s="1"/>
  <c r="D92" i="6"/>
  <c r="T14" i="17"/>
  <c r="M26" i="6"/>
  <c r="N26" i="6" s="1"/>
  <c r="K26" i="6"/>
  <c r="L26" i="6" s="1"/>
  <c r="M17" i="38"/>
  <c r="N17" i="38" s="1"/>
  <c r="K17" i="38"/>
  <c r="L17" i="38" s="1"/>
  <c r="M17" i="39"/>
  <c r="K17" i="39"/>
  <c r="L17" i="39" s="1"/>
  <c r="N101" i="31"/>
  <c r="O101" i="31" s="1"/>
  <c r="L101" i="31"/>
  <c r="M101" i="31" s="1"/>
  <c r="M20" i="31"/>
  <c r="N20" i="31" s="1"/>
  <c r="K20" i="31"/>
  <c r="L20" i="31" s="1"/>
  <c r="M17" i="37"/>
  <c r="N17" i="37" s="1"/>
  <c r="K17" i="37"/>
  <c r="L17" i="37" s="1"/>
  <c r="W41" i="17"/>
  <c r="P41" i="17"/>
  <c r="W40" i="17"/>
  <c r="P40" i="17"/>
  <c r="M19" i="30"/>
  <c r="N19" i="30" s="1"/>
  <c r="K19" i="30"/>
  <c r="L19" i="30" s="1"/>
  <c r="N100" i="30"/>
  <c r="O100" i="30" s="1"/>
  <c r="L100" i="30"/>
  <c r="M100" i="30" s="1"/>
  <c r="M20" i="29"/>
  <c r="N20" i="29" s="1"/>
  <c r="K20" i="29"/>
  <c r="L20" i="29" s="1"/>
  <c r="N101" i="29"/>
  <c r="O101" i="29" s="1"/>
  <c r="L101" i="29"/>
  <c r="M101" i="29" s="1"/>
  <c r="N101" i="28"/>
  <c r="O101" i="28" s="1"/>
  <c r="L101" i="28"/>
  <c r="M101" i="28" s="1"/>
  <c r="M20" i="28"/>
  <c r="N20" i="28" s="1"/>
  <c r="K20" i="28"/>
  <c r="L20" i="28" s="1"/>
  <c r="N102" i="27"/>
  <c r="O102" i="27" s="1"/>
  <c r="L102" i="27"/>
  <c r="M102" i="27" s="1"/>
  <c r="M21" i="27"/>
  <c r="N21" i="27" s="1"/>
  <c r="K21" i="27"/>
  <c r="L21" i="27" s="1"/>
  <c r="N105" i="25"/>
  <c r="O105" i="25" s="1"/>
  <c r="L105" i="25"/>
  <c r="M105" i="25" s="1"/>
  <c r="M24" i="25"/>
  <c r="N24" i="25" s="1"/>
  <c r="K24" i="25"/>
  <c r="L24" i="25" s="1"/>
  <c r="N103" i="24"/>
  <c r="O103" i="24" s="1"/>
  <c r="L103" i="24"/>
  <c r="M103" i="24" s="1"/>
  <c r="M22" i="24"/>
  <c r="N22" i="24" s="1"/>
  <c r="K22" i="24"/>
  <c r="L22" i="24" s="1"/>
  <c r="N104" i="23"/>
  <c r="O104" i="23" s="1"/>
  <c r="L104" i="23"/>
  <c r="M104" i="23" s="1"/>
  <c r="M23" i="23"/>
  <c r="N23" i="23" s="1"/>
  <c r="K23" i="23"/>
  <c r="L23" i="23" s="1"/>
  <c r="N105" i="22"/>
  <c r="O105" i="22" s="1"/>
  <c r="L105" i="22"/>
  <c r="M105" i="22" s="1"/>
  <c r="M24" i="22"/>
  <c r="N24" i="22" s="1"/>
  <c r="K24" i="22"/>
  <c r="L24" i="22" s="1"/>
  <c r="N108" i="11"/>
  <c r="O108" i="11" s="1"/>
  <c r="L108" i="11"/>
  <c r="M108" i="11" s="1"/>
  <c r="M27" i="11"/>
  <c r="N27" i="11" s="1"/>
  <c r="K27" i="11"/>
  <c r="L27" i="11" s="1"/>
  <c r="N109" i="10"/>
  <c r="O109" i="10" s="1"/>
  <c r="L109" i="10"/>
  <c r="M109" i="10" s="1"/>
  <c r="M28" i="10"/>
  <c r="N28" i="10" s="1"/>
  <c r="K28" i="10"/>
  <c r="L28" i="10" s="1"/>
  <c r="N108" i="9"/>
  <c r="O108" i="9" s="1"/>
  <c r="L108" i="9"/>
  <c r="M108" i="9" s="1"/>
  <c r="M27" i="9"/>
  <c r="N27" i="9" s="1"/>
  <c r="K27" i="9"/>
  <c r="L27" i="9" s="1"/>
  <c r="N107" i="8"/>
  <c r="O107" i="8" s="1"/>
  <c r="L107" i="8"/>
  <c r="M107" i="8" s="1"/>
  <c r="M26" i="8"/>
  <c r="N26" i="8" s="1"/>
  <c r="K26" i="8"/>
  <c r="L26" i="8" s="1"/>
  <c r="N109" i="7"/>
  <c r="O109" i="7" s="1"/>
  <c r="L109" i="7"/>
  <c r="M109" i="7" s="1"/>
  <c r="M28" i="7"/>
  <c r="N28" i="7" s="1"/>
  <c r="K28" i="7"/>
  <c r="L28" i="7" s="1"/>
  <c r="N107" i="6"/>
  <c r="O107" i="6" s="1"/>
  <c r="L107" i="6"/>
  <c r="M107" i="6" s="1"/>
  <c r="N106" i="5"/>
  <c r="O106" i="5" s="1"/>
  <c r="L106" i="5"/>
  <c r="M106" i="5" s="1"/>
  <c r="M25" i="5"/>
  <c r="N25" i="5" s="1"/>
  <c r="K25" i="5"/>
  <c r="L25" i="5" s="1"/>
  <c r="N106" i="4"/>
  <c r="O106" i="4" s="1"/>
  <c r="L106" i="4"/>
  <c r="M106" i="4" s="1"/>
  <c r="M25" i="4"/>
  <c r="N25" i="4" s="1"/>
  <c r="K25" i="4"/>
  <c r="L25" i="4" s="1"/>
  <c r="N106" i="3"/>
  <c r="O106" i="3" s="1"/>
  <c r="L106" i="3"/>
  <c r="M106" i="3" s="1"/>
  <c r="M25" i="3"/>
  <c r="N25" i="3" s="1"/>
  <c r="K25" i="3"/>
  <c r="L25" i="3" s="1"/>
  <c r="P154" i="42"/>
  <c r="O154" i="42"/>
  <c r="M154" i="42"/>
  <c r="J154" i="42"/>
  <c r="P153" i="42"/>
  <c r="O153" i="42"/>
  <c r="M153" i="42"/>
  <c r="J153" i="42"/>
  <c r="P152" i="42"/>
  <c r="O152" i="42"/>
  <c r="M152" i="42"/>
  <c r="J152" i="42"/>
  <c r="P151" i="42"/>
  <c r="O151" i="42"/>
  <c r="M151" i="42"/>
  <c r="J151" i="42"/>
  <c r="P150" i="42"/>
  <c r="O150" i="42"/>
  <c r="M150" i="42"/>
  <c r="J150" i="42"/>
  <c r="P149" i="42"/>
  <c r="O149" i="42"/>
  <c r="M149" i="42"/>
  <c r="J149" i="42"/>
  <c r="P148" i="42"/>
  <c r="O148" i="42"/>
  <c r="M148" i="42"/>
  <c r="J148" i="42"/>
  <c r="P147" i="42"/>
  <c r="O147" i="42"/>
  <c r="M147" i="42"/>
  <c r="J147" i="42"/>
  <c r="P146" i="42"/>
  <c r="O146" i="42"/>
  <c r="M146" i="42"/>
  <c r="J146" i="42"/>
  <c r="P145" i="42"/>
  <c r="O145" i="42"/>
  <c r="M145" i="42"/>
  <c r="J145" i="42"/>
  <c r="P144" i="42"/>
  <c r="O144" i="42"/>
  <c r="M144" i="42"/>
  <c r="J144" i="42"/>
  <c r="P143" i="42"/>
  <c r="O143" i="42"/>
  <c r="M143" i="42"/>
  <c r="J143" i="42"/>
  <c r="P142" i="42"/>
  <c r="O142" i="42"/>
  <c r="M142" i="42"/>
  <c r="J142" i="42"/>
  <c r="P141" i="42"/>
  <c r="O141" i="42"/>
  <c r="M141" i="42"/>
  <c r="J141" i="42"/>
  <c r="P140" i="42"/>
  <c r="O140" i="42"/>
  <c r="M140" i="42"/>
  <c r="J140" i="42"/>
  <c r="P139" i="42"/>
  <c r="O139" i="42"/>
  <c r="M139" i="42"/>
  <c r="J139" i="42"/>
  <c r="P138" i="42"/>
  <c r="O138" i="42"/>
  <c r="M138" i="42"/>
  <c r="J138" i="42"/>
  <c r="P137" i="42"/>
  <c r="O137" i="42"/>
  <c r="M137" i="42"/>
  <c r="J137" i="42"/>
  <c r="P136" i="42"/>
  <c r="O136" i="42"/>
  <c r="M136" i="42"/>
  <c r="J136" i="42"/>
  <c r="P135" i="42"/>
  <c r="O135" i="42"/>
  <c r="M135" i="42"/>
  <c r="J135" i="42"/>
  <c r="P134" i="42"/>
  <c r="O134" i="42"/>
  <c r="M134" i="42"/>
  <c r="J134" i="42"/>
  <c r="P133" i="42"/>
  <c r="O133" i="42"/>
  <c r="M133" i="42"/>
  <c r="J133" i="42"/>
  <c r="P132" i="42"/>
  <c r="O132" i="42"/>
  <c r="M132" i="42"/>
  <c r="J132" i="42"/>
  <c r="P131" i="42"/>
  <c r="O131" i="42"/>
  <c r="M131" i="42"/>
  <c r="J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1" i="42"/>
  <c r="O100" i="42"/>
  <c r="C99" i="42"/>
  <c r="D96" i="42"/>
  <c r="L93" i="42"/>
  <c r="J93" i="42"/>
  <c r="D91" i="42"/>
  <c r="D89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N32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1" i="42"/>
  <c r="N20" i="42"/>
  <c r="N19" i="42"/>
  <c r="N18" i="42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1" i="42"/>
  <c r="I11" i="42"/>
  <c r="D8" i="42"/>
  <c r="D90" i="42" s="1"/>
  <c r="P83" i="42"/>
  <c r="P154" i="41"/>
  <c r="O154" i="41"/>
  <c r="M154" i="41"/>
  <c r="J154" i="41"/>
  <c r="P153" i="41"/>
  <c r="O153" i="41"/>
  <c r="M153" i="41"/>
  <c r="J153" i="41"/>
  <c r="P152" i="41"/>
  <c r="O152" i="41"/>
  <c r="M152" i="41"/>
  <c r="J152" i="41"/>
  <c r="P151" i="41"/>
  <c r="O151" i="41"/>
  <c r="M151" i="41"/>
  <c r="J151" i="41"/>
  <c r="P150" i="41"/>
  <c r="O150" i="41"/>
  <c r="M150" i="41"/>
  <c r="J150" i="41"/>
  <c r="P149" i="41"/>
  <c r="O149" i="41"/>
  <c r="M149" i="41"/>
  <c r="J149" i="41"/>
  <c r="P148" i="41"/>
  <c r="O148" i="41"/>
  <c r="M148" i="41"/>
  <c r="J148" i="41"/>
  <c r="P147" i="41"/>
  <c r="O147" i="41"/>
  <c r="M147" i="41"/>
  <c r="J147" i="41"/>
  <c r="P146" i="41"/>
  <c r="O146" i="41"/>
  <c r="M146" i="41"/>
  <c r="J146" i="41"/>
  <c r="P145" i="41"/>
  <c r="O145" i="41"/>
  <c r="M145" i="41"/>
  <c r="J145" i="41"/>
  <c r="P144" i="41"/>
  <c r="O144" i="41"/>
  <c r="M144" i="41"/>
  <c r="J144" i="41"/>
  <c r="P143" i="41"/>
  <c r="O143" i="41"/>
  <c r="M143" i="41"/>
  <c r="J143" i="41"/>
  <c r="P142" i="41"/>
  <c r="O142" i="41"/>
  <c r="M142" i="41"/>
  <c r="J142" i="41"/>
  <c r="P141" i="41"/>
  <c r="O141" i="41"/>
  <c r="M141" i="41"/>
  <c r="J141" i="41"/>
  <c r="P140" i="41"/>
  <c r="O140" i="41"/>
  <c r="M140" i="41"/>
  <c r="J140" i="41"/>
  <c r="P139" i="41"/>
  <c r="O139" i="41"/>
  <c r="M139" i="41"/>
  <c r="J139" i="41"/>
  <c r="P138" i="41"/>
  <c r="O138" i="41"/>
  <c r="M138" i="41"/>
  <c r="J138" i="41"/>
  <c r="P137" i="41"/>
  <c r="O137" i="41"/>
  <c r="M137" i="41"/>
  <c r="J137" i="41"/>
  <c r="P136" i="41"/>
  <c r="O136" i="41"/>
  <c r="M136" i="41"/>
  <c r="J136" i="41"/>
  <c r="P135" i="41"/>
  <c r="O135" i="41"/>
  <c r="M135" i="41"/>
  <c r="J135" i="41"/>
  <c r="P134" i="41"/>
  <c r="O134" i="41"/>
  <c r="M134" i="41"/>
  <c r="J134" i="41"/>
  <c r="P133" i="41"/>
  <c r="O133" i="41"/>
  <c r="M133" i="41"/>
  <c r="J133" i="41"/>
  <c r="P132" i="41"/>
  <c r="O132" i="41"/>
  <c r="M132" i="41"/>
  <c r="J132" i="41"/>
  <c r="P131" i="41"/>
  <c r="O131" i="41"/>
  <c r="M131" i="41"/>
  <c r="J131" i="41"/>
  <c r="O130" i="41"/>
  <c r="M130" i="41"/>
  <c r="O129" i="41"/>
  <c r="M129" i="41"/>
  <c r="O128" i="41"/>
  <c r="M128" i="41"/>
  <c r="O127" i="41"/>
  <c r="M127" i="41"/>
  <c r="O126" i="41"/>
  <c r="M126" i="41"/>
  <c r="O125" i="41"/>
  <c r="M125" i="41"/>
  <c r="O124" i="41"/>
  <c r="M124" i="41"/>
  <c r="O123" i="41"/>
  <c r="M123" i="41"/>
  <c r="O122" i="41"/>
  <c r="M122" i="41"/>
  <c r="O121" i="41"/>
  <c r="M121" i="41"/>
  <c r="O120" i="41"/>
  <c r="M120" i="41"/>
  <c r="O119" i="41"/>
  <c r="M119" i="41"/>
  <c r="O118" i="41"/>
  <c r="M118" i="41"/>
  <c r="O117" i="41"/>
  <c r="M117" i="41"/>
  <c r="O116" i="41"/>
  <c r="M116" i="41"/>
  <c r="O115" i="41"/>
  <c r="M115" i="41"/>
  <c r="O114" i="41"/>
  <c r="M114" i="41"/>
  <c r="O113" i="41"/>
  <c r="M113" i="41"/>
  <c r="O112" i="41"/>
  <c r="M112" i="41"/>
  <c r="O111" i="41"/>
  <c r="M111" i="41"/>
  <c r="O110" i="41"/>
  <c r="M110" i="41"/>
  <c r="O109" i="41"/>
  <c r="M109" i="41"/>
  <c r="O108" i="41"/>
  <c r="M108" i="41"/>
  <c r="O107" i="41"/>
  <c r="M107" i="41"/>
  <c r="O106" i="41"/>
  <c r="M106" i="41"/>
  <c r="O101" i="41"/>
  <c r="O100" i="41"/>
  <c r="C99" i="4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6" i="41"/>
  <c r="L93" i="41"/>
  <c r="J93" i="41"/>
  <c r="D91" i="41"/>
  <c r="D89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1" i="41"/>
  <c r="N20" i="41"/>
  <c r="N19" i="41"/>
  <c r="N18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1" i="41"/>
  <c r="I11" i="41"/>
  <c r="D8" i="41"/>
  <c r="D90" i="41" s="1"/>
  <c r="P83" i="41"/>
  <c r="F66" i="2"/>
  <c r="C66" i="2"/>
  <c r="E17" i="1"/>
  <c r="F13" i="1"/>
  <c r="C80" i="1" s="1"/>
  <c r="C81" i="1"/>
  <c r="C75" i="1"/>
  <c r="C64" i="1"/>
  <c r="C58" i="1"/>
  <c r="C47" i="1"/>
  <c r="C46" i="1"/>
  <c r="C45" i="1"/>
  <c r="C34" i="1"/>
  <c r="C31" i="1"/>
  <c r="C24" i="1"/>
  <c r="M16" i="2"/>
  <c r="N100" i="31"/>
  <c r="O100" i="31"/>
  <c r="L100" i="31"/>
  <c r="M100" i="31" s="1"/>
  <c r="M19" i="31"/>
  <c r="N19" i="31" s="1"/>
  <c r="K19" i="31"/>
  <c r="L19" i="31" s="1"/>
  <c r="N99" i="30"/>
  <c r="O99" i="30" s="1"/>
  <c r="L99" i="30"/>
  <c r="M99" i="30" s="1"/>
  <c r="M18" i="30"/>
  <c r="N18" i="30" s="1"/>
  <c r="K18" i="30"/>
  <c r="L18" i="30" s="1"/>
  <c r="N100" i="29"/>
  <c r="O100" i="29" s="1"/>
  <c r="L100" i="29"/>
  <c r="M100" i="29" s="1"/>
  <c r="M19" i="29"/>
  <c r="N19" i="29" s="1"/>
  <c r="K19" i="29"/>
  <c r="L19" i="29" s="1"/>
  <c r="O19" i="29" s="1"/>
  <c r="N100" i="28"/>
  <c r="O100" i="28" s="1"/>
  <c r="L100" i="28"/>
  <c r="M100" i="28" s="1"/>
  <c r="M19" i="28"/>
  <c r="N19" i="28" s="1"/>
  <c r="K19" i="28"/>
  <c r="L19" i="28" s="1"/>
  <c r="N101" i="27"/>
  <c r="O101" i="27" s="1"/>
  <c r="L101" i="27"/>
  <c r="M101" i="27" s="1"/>
  <c r="M20" i="27"/>
  <c r="N20" i="27" s="1"/>
  <c r="K20" i="27"/>
  <c r="L20" i="27" s="1"/>
  <c r="N104" i="25"/>
  <c r="O104" i="25" s="1"/>
  <c r="L104" i="25"/>
  <c r="M104" i="25" s="1"/>
  <c r="M23" i="25"/>
  <c r="N23" i="25" s="1"/>
  <c r="K23" i="25"/>
  <c r="L23" i="25" s="1"/>
  <c r="N102" i="24"/>
  <c r="O102" i="24" s="1"/>
  <c r="L102" i="24"/>
  <c r="M102" i="24" s="1"/>
  <c r="M21" i="24"/>
  <c r="N21" i="24" s="1"/>
  <c r="K21" i="24"/>
  <c r="L21" i="24" s="1"/>
  <c r="N103" i="23"/>
  <c r="O103" i="23" s="1"/>
  <c r="L103" i="23"/>
  <c r="M103" i="23" s="1"/>
  <c r="M22" i="23"/>
  <c r="N22" i="23" s="1"/>
  <c r="K22" i="23"/>
  <c r="L22" i="23" s="1"/>
  <c r="N104" i="22"/>
  <c r="O104" i="22" s="1"/>
  <c r="L104" i="22"/>
  <c r="M104" i="22" s="1"/>
  <c r="M23" i="22"/>
  <c r="N23" i="22" s="1"/>
  <c r="K23" i="22"/>
  <c r="L23" i="22" s="1"/>
  <c r="N107" i="11"/>
  <c r="O107" i="11" s="1"/>
  <c r="L107" i="11"/>
  <c r="M107" i="11" s="1"/>
  <c r="M26" i="11"/>
  <c r="N26" i="11" s="1"/>
  <c r="K26" i="11"/>
  <c r="L26" i="11" s="1"/>
  <c r="N108" i="10"/>
  <c r="O108" i="10" s="1"/>
  <c r="L108" i="10"/>
  <c r="M108" i="10" s="1"/>
  <c r="M27" i="10"/>
  <c r="N27" i="10" s="1"/>
  <c r="K27" i="10"/>
  <c r="L27" i="10" s="1"/>
  <c r="N107" i="9"/>
  <c r="O107" i="9" s="1"/>
  <c r="L107" i="9"/>
  <c r="M107" i="9" s="1"/>
  <c r="M26" i="9"/>
  <c r="N26" i="9" s="1"/>
  <c r="K26" i="9"/>
  <c r="L26" i="9" s="1"/>
  <c r="N106" i="8"/>
  <c r="O106" i="8" s="1"/>
  <c r="L106" i="8"/>
  <c r="M106" i="8" s="1"/>
  <c r="M25" i="8"/>
  <c r="N25" i="8" s="1"/>
  <c r="K25" i="8"/>
  <c r="L25" i="8" s="1"/>
  <c r="N108" i="7"/>
  <c r="O108" i="7" s="1"/>
  <c r="L108" i="7"/>
  <c r="M108" i="7" s="1"/>
  <c r="M27" i="7"/>
  <c r="N27" i="7" s="1"/>
  <c r="K27" i="7"/>
  <c r="L27" i="7" s="1"/>
  <c r="M25" i="6"/>
  <c r="N25" i="6" s="1"/>
  <c r="K25" i="6"/>
  <c r="L25" i="6" s="1"/>
  <c r="N106" i="6"/>
  <c r="O106" i="6" s="1"/>
  <c r="L106" i="6"/>
  <c r="M106" i="6" s="1"/>
  <c r="N105" i="5"/>
  <c r="O105" i="5" s="1"/>
  <c r="L105" i="5"/>
  <c r="M105" i="5" s="1"/>
  <c r="M24" i="5"/>
  <c r="N24" i="5" s="1"/>
  <c r="K24" i="5"/>
  <c r="L24" i="5" s="1"/>
  <c r="N105" i="4"/>
  <c r="O105" i="4" s="1"/>
  <c r="L105" i="4"/>
  <c r="M105" i="4" s="1"/>
  <c r="M24" i="4"/>
  <c r="N24" i="4" s="1"/>
  <c r="K24" i="4"/>
  <c r="L24" i="4" s="1"/>
  <c r="O24" i="4" s="1"/>
  <c r="M24" i="3"/>
  <c r="N24" i="3" s="1"/>
  <c r="K24" i="3"/>
  <c r="L24" i="3" s="1"/>
  <c r="N105" i="3"/>
  <c r="O105" i="3" s="1"/>
  <c r="L105" i="3"/>
  <c r="M105" i="3" s="1"/>
  <c r="P39" i="17"/>
  <c r="P38" i="17"/>
  <c r="P37" i="17"/>
  <c r="P36" i="17"/>
  <c r="P83" i="40"/>
  <c r="P83" i="39"/>
  <c r="P83" i="38"/>
  <c r="P83" i="37"/>
  <c r="P154" i="40"/>
  <c r="O154" i="40"/>
  <c r="M154" i="40"/>
  <c r="J154" i="40"/>
  <c r="P153" i="40"/>
  <c r="O153" i="40"/>
  <c r="M153" i="40"/>
  <c r="J153" i="40"/>
  <c r="P152" i="40"/>
  <c r="O152" i="40"/>
  <c r="M152" i="40"/>
  <c r="J152" i="40"/>
  <c r="P151" i="40"/>
  <c r="O151" i="40"/>
  <c r="M151" i="40"/>
  <c r="J151" i="40"/>
  <c r="P150" i="40"/>
  <c r="O150" i="40"/>
  <c r="M150" i="40"/>
  <c r="J150" i="40"/>
  <c r="P149" i="40"/>
  <c r="O149" i="40"/>
  <c r="M149" i="40"/>
  <c r="J149" i="40"/>
  <c r="P148" i="40"/>
  <c r="O148" i="40"/>
  <c r="M148" i="40"/>
  <c r="J148" i="40"/>
  <c r="P147" i="40"/>
  <c r="O147" i="40"/>
  <c r="M147" i="40"/>
  <c r="J147" i="40"/>
  <c r="P146" i="40"/>
  <c r="O146" i="40"/>
  <c r="M146" i="40"/>
  <c r="J146" i="40"/>
  <c r="P145" i="40"/>
  <c r="O145" i="40"/>
  <c r="M145" i="40"/>
  <c r="J145" i="40"/>
  <c r="P144" i="40"/>
  <c r="O144" i="40"/>
  <c r="M144" i="40"/>
  <c r="J144" i="40"/>
  <c r="P143" i="40"/>
  <c r="O143" i="40"/>
  <c r="M143" i="40"/>
  <c r="J143" i="40"/>
  <c r="P142" i="40"/>
  <c r="O142" i="40"/>
  <c r="M142" i="40"/>
  <c r="J142" i="40"/>
  <c r="P141" i="40"/>
  <c r="O141" i="40"/>
  <c r="M141" i="40"/>
  <c r="J141" i="40"/>
  <c r="P140" i="40"/>
  <c r="O140" i="40"/>
  <c r="M140" i="40"/>
  <c r="J140" i="40"/>
  <c r="P139" i="40"/>
  <c r="O139" i="40"/>
  <c r="M139" i="40"/>
  <c r="J139" i="40"/>
  <c r="P138" i="40"/>
  <c r="O138" i="40"/>
  <c r="M138" i="40"/>
  <c r="J138" i="40"/>
  <c r="P137" i="40"/>
  <c r="O137" i="40"/>
  <c r="M137" i="40"/>
  <c r="J137" i="40"/>
  <c r="P136" i="40"/>
  <c r="O136" i="40"/>
  <c r="M136" i="40"/>
  <c r="J136" i="40"/>
  <c r="P135" i="40"/>
  <c r="O135" i="40"/>
  <c r="M135" i="40"/>
  <c r="J135" i="40"/>
  <c r="P134" i="40"/>
  <c r="O134" i="40"/>
  <c r="M134" i="40"/>
  <c r="J134" i="40"/>
  <c r="P133" i="40"/>
  <c r="O133" i="40"/>
  <c r="M133" i="40"/>
  <c r="J133" i="40"/>
  <c r="P132" i="40"/>
  <c r="O132" i="40"/>
  <c r="M132" i="40"/>
  <c r="J132" i="40"/>
  <c r="P131" i="40"/>
  <c r="O131" i="40"/>
  <c r="M131" i="40"/>
  <c r="J131" i="40"/>
  <c r="O130" i="40"/>
  <c r="M130" i="40"/>
  <c r="O129" i="40"/>
  <c r="M129" i="40"/>
  <c r="O128" i="40"/>
  <c r="M128" i="40"/>
  <c r="O127" i="40"/>
  <c r="M127" i="40"/>
  <c r="O126" i="40"/>
  <c r="M126" i="40"/>
  <c r="O125" i="40"/>
  <c r="M125" i="40"/>
  <c r="O124" i="40"/>
  <c r="M124" i="40"/>
  <c r="O123" i="40"/>
  <c r="M123" i="40"/>
  <c r="O122" i="40"/>
  <c r="M122" i="40"/>
  <c r="O121" i="40"/>
  <c r="M121" i="40"/>
  <c r="O120" i="40"/>
  <c r="M120" i="40"/>
  <c r="O119" i="40"/>
  <c r="M119" i="40"/>
  <c r="O118" i="40"/>
  <c r="M118" i="40"/>
  <c r="O117" i="40"/>
  <c r="M117" i="40"/>
  <c r="O116" i="40"/>
  <c r="M116" i="40"/>
  <c r="O115" i="40"/>
  <c r="M115" i="40"/>
  <c r="O114" i="40"/>
  <c r="M114" i="40"/>
  <c r="O113" i="40"/>
  <c r="M113" i="40"/>
  <c r="O112" i="40"/>
  <c r="M112" i="40"/>
  <c r="O111" i="40"/>
  <c r="M111" i="40"/>
  <c r="O110" i="40"/>
  <c r="M110" i="40"/>
  <c r="O109" i="40"/>
  <c r="M109" i="40"/>
  <c r="O108" i="40"/>
  <c r="M108" i="40"/>
  <c r="O107" i="40"/>
  <c r="M107" i="40"/>
  <c r="O106" i="40"/>
  <c r="M106" i="40"/>
  <c r="O101" i="40"/>
  <c r="O100" i="40"/>
  <c r="D96" i="40"/>
  <c r="L93" i="40"/>
  <c r="J93" i="40"/>
  <c r="D91" i="40"/>
  <c r="D89" i="40"/>
  <c r="N72" i="40"/>
  <c r="L72" i="40"/>
  <c r="N71" i="40"/>
  <c r="L71" i="40"/>
  <c r="N70" i="40"/>
  <c r="L70" i="40"/>
  <c r="N69" i="40"/>
  <c r="L69" i="40"/>
  <c r="N68" i="40"/>
  <c r="L68" i="40"/>
  <c r="N67" i="40"/>
  <c r="L67" i="40"/>
  <c r="N66" i="40"/>
  <c r="L66" i="40"/>
  <c r="N65" i="40"/>
  <c r="L65" i="40"/>
  <c r="N64" i="40"/>
  <c r="L64" i="40"/>
  <c r="N63" i="40"/>
  <c r="L63" i="40"/>
  <c r="N62" i="40"/>
  <c r="L62" i="40"/>
  <c r="N61" i="40"/>
  <c r="L61" i="40"/>
  <c r="N60" i="40"/>
  <c r="L60" i="40"/>
  <c r="N59" i="40"/>
  <c r="L59" i="40"/>
  <c r="N58" i="40"/>
  <c r="L58" i="40"/>
  <c r="N57" i="40"/>
  <c r="L57" i="40"/>
  <c r="N56" i="40"/>
  <c r="L56" i="40"/>
  <c r="N55" i="40"/>
  <c r="L55" i="40"/>
  <c r="N54" i="40"/>
  <c r="L54" i="40"/>
  <c r="N53" i="40"/>
  <c r="L53" i="40"/>
  <c r="N52" i="40"/>
  <c r="L52" i="40"/>
  <c r="N51" i="40"/>
  <c r="L51" i="40"/>
  <c r="N50" i="40"/>
  <c r="L50" i="40"/>
  <c r="N49" i="40"/>
  <c r="L49" i="40"/>
  <c r="N48" i="40"/>
  <c r="L48" i="40"/>
  <c r="N47" i="40"/>
  <c r="L47" i="40"/>
  <c r="N46" i="40"/>
  <c r="L46" i="40"/>
  <c r="N45" i="40"/>
  <c r="L45" i="40"/>
  <c r="N44" i="40"/>
  <c r="L44" i="40"/>
  <c r="N43" i="40"/>
  <c r="L43" i="40"/>
  <c r="N42" i="40"/>
  <c r="L42" i="40"/>
  <c r="N41" i="40"/>
  <c r="L41" i="40"/>
  <c r="N40" i="40"/>
  <c r="L40" i="40"/>
  <c r="N39" i="40"/>
  <c r="L39" i="40"/>
  <c r="N38" i="40"/>
  <c r="L38" i="40"/>
  <c r="N37" i="40"/>
  <c r="L37" i="40"/>
  <c r="N36" i="40"/>
  <c r="L36" i="40"/>
  <c r="N35" i="40"/>
  <c r="L35" i="40"/>
  <c r="N34" i="40"/>
  <c r="L34" i="40"/>
  <c r="N33" i="40"/>
  <c r="L33" i="40"/>
  <c r="N32" i="40"/>
  <c r="L32" i="40"/>
  <c r="N31" i="40"/>
  <c r="L31" i="40"/>
  <c r="N30" i="40"/>
  <c r="L30" i="40"/>
  <c r="N29" i="40"/>
  <c r="L29" i="40"/>
  <c r="N28" i="40"/>
  <c r="L28" i="40"/>
  <c r="N27" i="40"/>
  <c r="L27" i="40"/>
  <c r="N26" i="40"/>
  <c r="L26" i="40"/>
  <c r="N25" i="40"/>
  <c r="L25" i="40"/>
  <c r="N21" i="40"/>
  <c r="N20" i="40"/>
  <c r="N19" i="40"/>
  <c r="N18" i="40"/>
  <c r="O18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K11" i="40"/>
  <c r="I11" i="40"/>
  <c r="D8" i="40"/>
  <c r="D90" i="40" s="1"/>
  <c r="P154" i="39"/>
  <c r="O154" i="39"/>
  <c r="M154" i="39"/>
  <c r="J154" i="39"/>
  <c r="P153" i="39"/>
  <c r="O153" i="39"/>
  <c r="M153" i="39"/>
  <c r="J153" i="39"/>
  <c r="P152" i="39"/>
  <c r="O152" i="39"/>
  <c r="M152" i="39"/>
  <c r="J152" i="39"/>
  <c r="P151" i="39"/>
  <c r="O151" i="39"/>
  <c r="M151" i="39"/>
  <c r="J151" i="39"/>
  <c r="P150" i="39"/>
  <c r="O150" i="39"/>
  <c r="M150" i="39"/>
  <c r="J150" i="39"/>
  <c r="P149" i="39"/>
  <c r="O149" i="39"/>
  <c r="M149" i="39"/>
  <c r="J149" i="39"/>
  <c r="P148" i="39"/>
  <c r="O148" i="39"/>
  <c r="M148" i="39"/>
  <c r="J148" i="39"/>
  <c r="P147" i="39"/>
  <c r="O147" i="39"/>
  <c r="M147" i="39"/>
  <c r="J147" i="39"/>
  <c r="P146" i="39"/>
  <c r="O146" i="39"/>
  <c r="M146" i="39"/>
  <c r="J146" i="39"/>
  <c r="P145" i="39"/>
  <c r="O145" i="39"/>
  <c r="M145" i="39"/>
  <c r="J145" i="39"/>
  <c r="P144" i="39"/>
  <c r="O144" i="39"/>
  <c r="M144" i="39"/>
  <c r="J144" i="39"/>
  <c r="P143" i="39"/>
  <c r="O143" i="39"/>
  <c r="M143" i="39"/>
  <c r="J143" i="39"/>
  <c r="P142" i="39"/>
  <c r="O142" i="39"/>
  <c r="M142" i="39"/>
  <c r="J142" i="39"/>
  <c r="P141" i="39"/>
  <c r="O141" i="39"/>
  <c r="M141" i="39"/>
  <c r="J141" i="39"/>
  <c r="P140" i="39"/>
  <c r="O140" i="39"/>
  <c r="M140" i="39"/>
  <c r="J140" i="39"/>
  <c r="P139" i="39"/>
  <c r="O139" i="39"/>
  <c r="M139" i="39"/>
  <c r="J139" i="39"/>
  <c r="P138" i="39"/>
  <c r="O138" i="39"/>
  <c r="M138" i="39"/>
  <c r="J138" i="39"/>
  <c r="P137" i="39"/>
  <c r="O137" i="39"/>
  <c r="M137" i="39"/>
  <c r="J137" i="39"/>
  <c r="P136" i="39"/>
  <c r="O136" i="39"/>
  <c r="M136" i="39"/>
  <c r="J136" i="39"/>
  <c r="P135" i="39"/>
  <c r="O135" i="39"/>
  <c r="M135" i="39"/>
  <c r="J135" i="39"/>
  <c r="P134" i="39"/>
  <c r="O134" i="39"/>
  <c r="M134" i="39"/>
  <c r="J134" i="39"/>
  <c r="P133" i="39"/>
  <c r="O133" i="39"/>
  <c r="M133" i="39"/>
  <c r="J133" i="39"/>
  <c r="P132" i="39"/>
  <c r="O132" i="39"/>
  <c r="M132" i="39"/>
  <c r="J132" i="39"/>
  <c r="P131" i="39"/>
  <c r="O131" i="39"/>
  <c r="M131" i="39"/>
  <c r="J131" i="39"/>
  <c r="O130" i="39"/>
  <c r="M130" i="39"/>
  <c r="O129" i="39"/>
  <c r="M129" i="39"/>
  <c r="O128" i="39"/>
  <c r="M128" i="39"/>
  <c r="O127" i="39"/>
  <c r="M127" i="39"/>
  <c r="O126" i="39"/>
  <c r="M126" i="39"/>
  <c r="O125" i="39"/>
  <c r="M125" i="39"/>
  <c r="O124" i="39"/>
  <c r="M124" i="39"/>
  <c r="O123" i="39"/>
  <c r="M123" i="39"/>
  <c r="O122" i="39"/>
  <c r="M122" i="39"/>
  <c r="O121" i="39"/>
  <c r="M121" i="39"/>
  <c r="O120" i="39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M113" i="39"/>
  <c r="O112" i="39"/>
  <c r="M112" i="39"/>
  <c r="O111" i="39"/>
  <c r="M111" i="39"/>
  <c r="O110" i="39"/>
  <c r="M110" i="39"/>
  <c r="O109" i="39"/>
  <c r="M109" i="39"/>
  <c r="O108" i="39"/>
  <c r="M108" i="39"/>
  <c r="O107" i="39"/>
  <c r="M107" i="39"/>
  <c r="O102" i="39"/>
  <c r="O101" i="39"/>
  <c r="M99" i="39"/>
  <c r="D96" i="39"/>
  <c r="L93" i="39"/>
  <c r="J93" i="39"/>
  <c r="D91" i="39"/>
  <c r="D89" i="39"/>
  <c r="N72" i="39"/>
  <c r="L72" i="39"/>
  <c r="N71" i="39"/>
  <c r="L71" i="39"/>
  <c r="N70" i="39"/>
  <c r="L70" i="39"/>
  <c r="N69" i="39"/>
  <c r="L69" i="39"/>
  <c r="N68" i="39"/>
  <c r="L68" i="39"/>
  <c r="N67" i="39"/>
  <c r="L67" i="39"/>
  <c r="N66" i="39"/>
  <c r="L66" i="39"/>
  <c r="N65" i="39"/>
  <c r="L65" i="39"/>
  <c r="N64" i="39"/>
  <c r="L64" i="39"/>
  <c r="N63" i="39"/>
  <c r="L63" i="39"/>
  <c r="N62" i="39"/>
  <c r="L62" i="39"/>
  <c r="N61" i="39"/>
  <c r="L61" i="39"/>
  <c r="N60" i="39"/>
  <c r="L60" i="39"/>
  <c r="N59" i="39"/>
  <c r="L59" i="39"/>
  <c r="N58" i="39"/>
  <c r="L58" i="39"/>
  <c r="N57" i="39"/>
  <c r="L57" i="39"/>
  <c r="N56" i="39"/>
  <c r="L56" i="39"/>
  <c r="N55" i="39"/>
  <c r="L55" i="39"/>
  <c r="N54" i="39"/>
  <c r="L54" i="39"/>
  <c r="N53" i="39"/>
  <c r="L53" i="39"/>
  <c r="N52" i="39"/>
  <c r="L52" i="39"/>
  <c r="N51" i="39"/>
  <c r="L51" i="39"/>
  <c r="N50" i="39"/>
  <c r="L50" i="39"/>
  <c r="N49" i="39"/>
  <c r="L49" i="39"/>
  <c r="N48" i="39"/>
  <c r="L48" i="39"/>
  <c r="N47" i="39"/>
  <c r="L47" i="39"/>
  <c r="N46" i="39"/>
  <c r="L46" i="39"/>
  <c r="N45" i="39"/>
  <c r="L45" i="39"/>
  <c r="N44" i="39"/>
  <c r="L44" i="39"/>
  <c r="N43" i="39"/>
  <c r="L43" i="39"/>
  <c r="N42" i="39"/>
  <c r="L42" i="39"/>
  <c r="N41" i="39"/>
  <c r="L41" i="39"/>
  <c r="N40" i="39"/>
  <c r="L40" i="39"/>
  <c r="N39" i="39"/>
  <c r="L39" i="39"/>
  <c r="N38" i="39"/>
  <c r="L38" i="39"/>
  <c r="N37" i="39"/>
  <c r="L37" i="39"/>
  <c r="N36" i="39"/>
  <c r="L36" i="39"/>
  <c r="N35" i="39"/>
  <c r="L35" i="39"/>
  <c r="N34" i="39"/>
  <c r="L34" i="39"/>
  <c r="N33" i="39"/>
  <c r="L33" i="39"/>
  <c r="N32" i="39"/>
  <c r="L32" i="39"/>
  <c r="N31" i="39"/>
  <c r="L31" i="39"/>
  <c r="N30" i="39"/>
  <c r="L30" i="39"/>
  <c r="N29" i="39"/>
  <c r="L29" i="39"/>
  <c r="N28" i="39"/>
  <c r="L28" i="39"/>
  <c r="N27" i="39"/>
  <c r="L27" i="39"/>
  <c r="N26" i="39"/>
  <c r="L26" i="39"/>
  <c r="N25" i="39"/>
  <c r="L25" i="39"/>
  <c r="N22" i="39"/>
  <c r="N21" i="39"/>
  <c r="N20" i="39"/>
  <c r="N19" i="39"/>
  <c r="N18" i="39"/>
  <c r="N17" i="39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1" i="39"/>
  <c r="I11" i="39"/>
  <c r="D8" i="39"/>
  <c r="D90" i="39" s="1"/>
  <c r="P154" i="38"/>
  <c r="O154" i="38"/>
  <c r="M154" i="38"/>
  <c r="J154" i="38"/>
  <c r="P153" i="38"/>
  <c r="O153" i="38"/>
  <c r="M153" i="38"/>
  <c r="J153" i="38"/>
  <c r="P152" i="38"/>
  <c r="O152" i="38"/>
  <c r="M152" i="38"/>
  <c r="J152" i="38"/>
  <c r="P151" i="38"/>
  <c r="O151" i="38"/>
  <c r="M151" i="38"/>
  <c r="J151" i="38"/>
  <c r="P150" i="38"/>
  <c r="O150" i="38"/>
  <c r="M150" i="38"/>
  <c r="J150" i="38"/>
  <c r="P149" i="38"/>
  <c r="O149" i="38"/>
  <c r="M149" i="38"/>
  <c r="J149" i="38"/>
  <c r="P148" i="38"/>
  <c r="O148" i="38"/>
  <c r="M148" i="38"/>
  <c r="J148" i="38"/>
  <c r="P147" i="38"/>
  <c r="O147" i="38"/>
  <c r="M147" i="38"/>
  <c r="J147" i="38"/>
  <c r="P146" i="38"/>
  <c r="O146" i="38"/>
  <c r="M146" i="38"/>
  <c r="J146" i="38"/>
  <c r="P145" i="38"/>
  <c r="O145" i="38"/>
  <c r="M145" i="38"/>
  <c r="J145" i="38"/>
  <c r="P144" i="38"/>
  <c r="O144" i="38"/>
  <c r="M144" i="38"/>
  <c r="J144" i="38"/>
  <c r="P143" i="38"/>
  <c r="O143" i="38"/>
  <c r="M143" i="38"/>
  <c r="J143" i="38"/>
  <c r="P142" i="38"/>
  <c r="O142" i="38"/>
  <c r="M142" i="38"/>
  <c r="J142" i="38"/>
  <c r="P141" i="38"/>
  <c r="O141" i="38"/>
  <c r="M141" i="38"/>
  <c r="J141" i="38"/>
  <c r="P140" i="38"/>
  <c r="O140" i="38"/>
  <c r="M140" i="38"/>
  <c r="J140" i="38"/>
  <c r="P139" i="38"/>
  <c r="O139" i="38"/>
  <c r="M139" i="38"/>
  <c r="J139" i="38"/>
  <c r="P138" i="38"/>
  <c r="O138" i="38"/>
  <c r="M138" i="38"/>
  <c r="J138" i="38"/>
  <c r="P137" i="38"/>
  <c r="O137" i="38"/>
  <c r="M137" i="38"/>
  <c r="J137" i="38"/>
  <c r="P136" i="38"/>
  <c r="O136" i="38"/>
  <c r="M136" i="38"/>
  <c r="J136" i="38"/>
  <c r="P135" i="38"/>
  <c r="O135" i="38"/>
  <c r="M135" i="38"/>
  <c r="J135" i="38"/>
  <c r="P134" i="38"/>
  <c r="O134" i="38"/>
  <c r="M134" i="38"/>
  <c r="J134" i="38"/>
  <c r="P133" i="38"/>
  <c r="O133" i="38"/>
  <c r="M133" i="38"/>
  <c r="J133" i="38"/>
  <c r="P132" i="38"/>
  <c r="O132" i="38"/>
  <c r="M132" i="38"/>
  <c r="J132" i="38"/>
  <c r="P131" i="38"/>
  <c r="O131" i="38"/>
  <c r="M131" i="38"/>
  <c r="J131" i="38"/>
  <c r="O130" i="38"/>
  <c r="M130" i="38"/>
  <c r="O129" i="38"/>
  <c r="M129" i="38"/>
  <c r="O128" i="38"/>
  <c r="M128" i="38"/>
  <c r="O127" i="38"/>
  <c r="M127" i="38"/>
  <c r="O126" i="38"/>
  <c r="M126" i="38"/>
  <c r="O125" i="38"/>
  <c r="M125" i="38"/>
  <c r="O124" i="38"/>
  <c r="M124" i="38"/>
  <c r="O123" i="38"/>
  <c r="M123" i="38"/>
  <c r="O122" i="38"/>
  <c r="M122" i="38"/>
  <c r="O121" i="38"/>
  <c r="M121" i="38"/>
  <c r="O120" i="38"/>
  <c r="M120" i="38"/>
  <c r="O119" i="38"/>
  <c r="M119" i="38"/>
  <c r="O118" i="38"/>
  <c r="M118" i="38"/>
  <c r="O117" i="38"/>
  <c r="M117" i="38"/>
  <c r="O116" i="38"/>
  <c r="M116" i="38"/>
  <c r="O115" i="38"/>
  <c r="M115" i="38"/>
  <c r="O114" i="38"/>
  <c r="M114" i="38"/>
  <c r="O113" i="38"/>
  <c r="M113" i="38"/>
  <c r="O112" i="38"/>
  <c r="M112" i="38"/>
  <c r="O111" i="38"/>
  <c r="M111" i="38"/>
  <c r="O110" i="38"/>
  <c r="M110" i="38"/>
  <c r="O109" i="38"/>
  <c r="M109" i="38"/>
  <c r="O108" i="38"/>
  <c r="M108" i="38"/>
  <c r="O107" i="38"/>
  <c r="M107" i="38"/>
  <c r="O106" i="38"/>
  <c r="M106" i="38"/>
  <c r="O101" i="38"/>
  <c r="D96" i="38"/>
  <c r="L93" i="38"/>
  <c r="J93" i="38"/>
  <c r="D91" i="38"/>
  <c r="D89" i="38"/>
  <c r="N72" i="38"/>
  <c r="L72" i="38"/>
  <c r="N71" i="38"/>
  <c r="L71" i="38"/>
  <c r="N70" i="38"/>
  <c r="L70" i="38"/>
  <c r="N69" i="38"/>
  <c r="L69" i="38"/>
  <c r="N68" i="38"/>
  <c r="L68" i="38"/>
  <c r="N67" i="38"/>
  <c r="L67" i="38"/>
  <c r="N66" i="38"/>
  <c r="L66" i="38"/>
  <c r="N65" i="38"/>
  <c r="L65" i="38"/>
  <c r="N64" i="38"/>
  <c r="L64" i="38"/>
  <c r="N63" i="38"/>
  <c r="L63" i="38"/>
  <c r="N62" i="38"/>
  <c r="L62" i="38"/>
  <c r="N61" i="38"/>
  <c r="L61" i="38"/>
  <c r="N60" i="38"/>
  <c r="L60" i="38"/>
  <c r="N59" i="38"/>
  <c r="L59" i="38"/>
  <c r="N58" i="38"/>
  <c r="L58" i="38"/>
  <c r="N57" i="38"/>
  <c r="L57" i="38"/>
  <c r="N56" i="38"/>
  <c r="L56" i="38"/>
  <c r="N55" i="38"/>
  <c r="L55" i="38"/>
  <c r="N54" i="38"/>
  <c r="L54" i="38"/>
  <c r="N53" i="38"/>
  <c r="L53" i="38"/>
  <c r="N52" i="38"/>
  <c r="L52" i="38"/>
  <c r="N51" i="38"/>
  <c r="L51" i="38"/>
  <c r="N50" i="38"/>
  <c r="L50" i="38"/>
  <c r="N49" i="38"/>
  <c r="L49" i="38"/>
  <c r="N48" i="38"/>
  <c r="L48" i="38"/>
  <c r="N47" i="38"/>
  <c r="L47" i="38"/>
  <c r="N46" i="38"/>
  <c r="L46" i="38"/>
  <c r="N45" i="38"/>
  <c r="L45" i="38"/>
  <c r="N44" i="38"/>
  <c r="L44" i="38"/>
  <c r="N43" i="38"/>
  <c r="L43" i="38"/>
  <c r="N42" i="38"/>
  <c r="L42" i="38"/>
  <c r="N41" i="38"/>
  <c r="L41" i="38"/>
  <c r="N40" i="38"/>
  <c r="L40" i="38"/>
  <c r="N39" i="38"/>
  <c r="L39" i="38"/>
  <c r="N38" i="38"/>
  <c r="L38" i="38"/>
  <c r="N37" i="38"/>
  <c r="L37" i="38"/>
  <c r="N36" i="38"/>
  <c r="L36" i="38"/>
  <c r="N35" i="38"/>
  <c r="L35" i="38"/>
  <c r="N34" i="38"/>
  <c r="L34" i="38"/>
  <c r="N33" i="38"/>
  <c r="L33" i="38"/>
  <c r="N32" i="38"/>
  <c r="L32" i="38"/>
  <c r="N31" i="38"/>
  <c r="L31" i="38"/>
  <c r="N30" i="38"/>
  <c r="L30" i="38"/>
  <c r="N29" i="38"/>
  <c r="L29" i="38"/>
  <c r="N28" i="38"/>
  <c r="L28" i="38"/>
  <c r="N27" i="38"/>
  <c r="L27" i="38"/>
  <c r="N26" i="38"/>
  <c r="L26" i="38"/>
  <c r="N22" i="38"/>
  <c r="N21" i="38"/>
  <c r="N20" i="38"/>
  <c r="N19" i="38"/>
  <c r="C18" i="38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51" i="38" s="1"/>
  <c r="C52" i="38" s="1"/>
  <c r="C53" i="38" s="1"/>
  <c r="C54" i="38" s="1"/>
  <c r="C55" i="38" s="1"/>
  <c r="C56" i="38" s="1"/>
  <c r="C57" i="38" s="1"/>
  <c r="C58" i="38" s="1"/>
  <c r="C59" i="38" s="1"/>
  <c r="C60" i="38" s="1"/>
  <c r="C61" i="38" s="1"/>
  <c r="C62" i="38" s="1"/>
  <c r="C63" i="38" s="1"/>
  <c r="C64" i="38" s="1"/>
  <c r="C65" i="38" s="1"/>
  <c r="C66" i="38" s="1"/>
  <c r="C67" i="38" s="1"/>
  <c r="C68" i="38" s="1"/>
  <c r="C69" i="38" s="1"/>
  <c r="C70" i="38" s="1"/>
  <c r="C71" i="38" s="1"/>
  <c r="C72" i="38" s="1"/>
  <c r="K11" i="38"/>
  <c r="I11" i="38"/>
  <c r="D8" i="38"/>
  <c r="D90" i="38" s="1"/>
  <c r="W39" i="17"/>
  <c r="W38" i="17"/>
  <c r="W37" i="17"/>
  <c r="W36" i="17"/>
  <c r="W35" i="17"/>
  <c r="P35" i="17"/>
  <c r="P154" i="37"/>
  <c r="O154" i="37"/>
  <c r="M154" i="37"/>
  <c r="J154" i="37"/>
  <c r="P153" i="37"/>
  <c r="O153" i="37"/>
  <c r="M153" i="37"/>
  <c r="J153" i="37"/>
  <c r="P152" i="37"/>
  <c r="O152" i="37"/>
  <c r="M152" i="37"/>
  <c r="J152" i="37"/>
  <c r="P151" i="37"/>
  <c r="O151" i="37"/>
  <c r="M151" i="37"/>
  <c r="J151" i="37"/>
  <c r="P150" i="37"/>
  <c r="O150" i="37"/>
  <c r="M150" i="37"/>
  <c r="J150" i="37"/>
  <c r="P149" i="37"/>
  <c r="O149" i="37"/>
  <c r="M149" i="37"/>
  <c r="J149" i="37"/>
  <c r="P148" i="37"/>
  <c r="O148" i="37"/>
  <c r="M148" i="37"/>
  <c r="J148" i="37"/>
  <c r="P147" i="37"/>
  <c r="O147" i="37"/>
  <c r="M147" i="37"/>
  <c r="J147" i="37"/>
  <c r="P146" i="37"/>
  <c r="O146" i="37"/>
  <c r="M146" i="37"/>
  <c r="J146" i="37"/>
  <c r="P145" i="37"/>
  <c r="O145" i="37"/>
  <c r="M145" i="37"/>
  <c r="J145" i="37"/>
  <c r="P144" i="37"/>
  <c r="O144" i="37"/>
  <c r="M144" i="37"/>
  <c r="J144" i="37"/>
  <c r="P143" i="37"/>
  <c r="O143" i="37"/>
  <c r="M143" i="37"/>
  <c r="J143" i="37"/>
  <c r="P142" i="37"/>
  <c r="O142" i="37"/>
  <c r="M142" i="37"/>
  <c r="J142" i="37"/>
  <c r="P141" i="37"/>
  <c r="O141" i="37"/>
  <c r="M141" i="37"/>
  <c r="J141" i="37"/>
  <c r="P140" i="37"/>
  <c r="O140" i="37"/>
  <c r="M140" i="37"/>
  <c r="J140" i="37"/>
  <c r="P139" i="37"/>
  <c r="O139" i="37"/>
  <c r="M139" i="37"/>
  <c r="J139" i="37"/>
  <c r="P138" i="37"/>
  <c r="O138" i="37"/>
  <c r="M138" i="37"/>
  <c r="J138" i="37"/>
  <c r="P137" i="37"/>
  <c r="O137" i="37"/>
  <c r="M137" i="37"/>
  <c r="J137" i="37"/>
  <c r="P136" i="37"/>
  <c r="O136" i="37"/>
  <c r="M136" i="37"/>
  <c r="J136" i="37"/>
  <c r="P135" i="37"/>
  <c r="O135" i="37"/>
  <c r="M135" i="37"/>
  <c r="J135" i="37"/>
  <c r="P134" i="37"/>
  <c r="O134" i="37"/>
  <c r="M134" i="37"/>
  <c r="J134" i="37"/>
  <c r="P133" i="37"/>
  <c r="O133" i="37"/>
  <c r="M133" i="37"/>
  <c r="J133" i="37"/>
  <c r="P132" i="37"/>
  <c r="O132" i="37"/>
  <c r="M132" i="37"/>
  <c r="J132" i="37"/>
  <c r="P131" i="37"/>
  <c r="O131" i="37"/>
  <c r="M131" i="37"/>
  <c r="J131" i="37"/>
  <c r="O130" i="37"/>
  <c r="M130" i="37"/>
  <c r="O129" i="37"/>
  <c r="M129" i="37"/>
  <c r="O128" i="37"/>
  <c r="M128" i="37"/>
  <c r="O127" i="37"/>
  <c r="M127" i="37"/>
  <c r="O126" i="37"/>
  <c r="M126" i="37"/>
  <c r="O125" i="37"/>
  <c r="M125" i="37"/>
  <c r="O124" i="37"/>
  <c r="M124" i="37"/>
  <c r="O123" i="37"/>
  <c r="M123" i="37"/>
  <c r="O122" i="37"/>
  <c r="M122" i="37"/>
  <c r="O121" i="37"/>
  <c r="M121" i="37"/>
  <c r="O120" i="37"/>
  <c r="M120" i="37"/>
  <c r="O119" i="37"/>
  <c r="M119" i="37"/>
  <c r="O118" i="37"/>
  <c r="M118" i="37"/>
  <c r="O117" i="37"/>
  <c r="M117" i="37"/>
  <c r="O116" i="37"/>
  <c r="M116" i="37"/>
  <c r="O115" i="37"/>
  <c r="M115" i="37"/>
  <c r="O114" i="37"/>
  <c r="M114" i="37"/>
  <c r="O113" i="37"/>
  <c r="M113" i="37"/>
  <c r="O112" i="37"/>
  <c r="M112" i="37"/>
  <c r="O111" i="37"/>
  <c r="M111" i="37"/>
  <c r="O110" i="37"/>
  <c r="M110" i="37"/>
  <c r="O109" i="37"/>
  <c r="M109" i="37"/>
  <c r="O108" i="37"/>
  <c r="M108" i="37"/>
  <c r="O107" i="37"/>
  <c r="M107" i="37"/>
  <c r="O102" i="37"/>
  <c r="O101" i="37"/>
  <c r="D96" i="37"/>
  <c r="L93" i="37"/>
  <c r="J93" i="37"/>
  <c r="D91" i="37"/>
  <c r="D89" i="37"/>
  <c r="N72" i="37"/>
  <c r="L72" i="37"/>
  <c r="N71" i="37"/>
  <c r="L71" i="37"/>
  <c r="N70" i="37"/>
  <c r="L70" i="37"/>
  <c r="N69" i="37"/>
  <c r="L69" i="37"/>
  <c r="N68" i="37"/>
  <c r="L68" i="37"/>
  <c r="N67" i="37"/>
  <c r="L67" i="37"/>
  <c r="N66" i="37"/>
  <c r="L66" i="37"/>
  <c r="N65" i="37"/>
  <c r="L65" i="37"/>
  <c r="N64" i="37"/>
  <c r="L64" i="37"/>
  <c r="N63" i="37"/>
  <c r="L63" i="37"/>
  <c r="N62" i="37"/>
  <c r="L62" i="37"/>
  <c r="N61" i="37"/>
  <c r="L61" i="37"/>
  <c r="N60" i="37"/>
  <c r="L60" i="37"/>
  <c r="N59" i="37"/>
  <c r="L59" i="37"/>
  <c r="N58" i="37"/>
  <c r="L58" i="37"/>
  <c r="N57" i="37"/>
  <c r="L57" i="37"/>
  <c r="N56" i="37"/>
  <c r="L56" i="37"/>
  <c r="N55" i="37"/>
  <c r="L55" i="37"/>
  <c r="N54" i="37"/>
  <c r="L54" i="37"/>
  <c r="N53" i="37"/>
  <c r="L53" i="37"/>
  <c r="N52" i="37"/>
  <c r="L52" i="37"/>
  <c r="N51" i="37"/>
  <c r="L51" i="37"/>
  <c r="N50" i="37"/>
  <c r="L50" i="37"/>
  <c r="N49" i="37"/>
  <c r="L49" i="37"/>
  <c r="N48" i="37"/>
  <c r="L48" i="37"/>
  <c r="N47" i="37"/>
  <c r="L47" i="37"/>
  <c r="N46" i="37"/>
  <c r="L46" i="37"/>
  <c r="N45" i="37"/>
  <c r="L45" i="37"/>
  <c r="N44" i="37"/>
  <c r="L44" i="37"/>
  <c r="N43" i="37"/>
  <c r="L43" i="37"/>
  <c r="N42" i="37"/>
  <c r="L42" i="37"/>
  <c r="N41" i="37"/>
  <c r="L41" i="37"/>
  <c r="N40" i="37"/>
  <c r="L40" i="37"/>
  <c r="N39" i="37"/>
  <c r="L39" i="37"/>
  <c r="N38" i="37"/>
  <c r="L38" i="37"/>
  <c r="N37" i="37"/>
  <c r="L37" i="37"/>
  <c r="N36" i="37"/>
  <c r="L36" i="37"/>
  <c r="N35" i="37"/>
  <c r="L35" i="37"/>
  <c r="N34" i="37"/>
  <c r="L34" i="37"/>
  <c r="N33" i="37"/>
  <c r="L33" i="37"/>
  <c r="N32" i="37"/>
  <c r="L32" i="37"/>
  <c r="N31" i="37"/>
  <c r="L31" i="37"/>
  <c r="N30" i="37"/>
  <c r="L30" i="37"/>
  <c r="N29" i="37"/>
  <c r="L29" i="37"/>
  <c r="N28" i="37"/>
  <c r="L28" i="37"/>
  <c r="N27" i="37"/>
  <c r="L27" i="37"/>
  <c r="N26" i="37"/>
  <c r="L26" i="37"/>
  <c r="N22" i="37"/>
  <c r="N21" i="37"/>
  <c r="N20" i="37"/>
  <c r="N19" i="37"/>
  <c r="C17" i="37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K11" i="37"/>
  <c r="I11" i="37"/>
  <c r="D8" i="37"/>
  <c r="D90" i="37" s="1"/>
  <c r="S56" i="17"/>
  <c r="M56" i="17"/>
  <c r="N99" i="31"/>
  <c r="O99" i="31" s="1"/>
  <c r="L99" i="31"/>
  <c r="M99" i="31" s="1"/>
  <c r="D96" i="31"/>
  <c r="M18" i="31"/>
  <c r="N18" i="31"/>
  <c r="K18" i="31"/>
  <c r="L18" i="31" s="1"/>
  <c r="M17" i="30"/>
  <c r="N17" i="30" s="1"/>
  <c r="K17" i="30"/>
  <c r="L17" i="30" s="1"/>
  <c r="N99" i="29"/>
  <c r="O99" i="29" s="1"/>
  <c r="L99" i="29"/>
  <c r="M99" i="29" s="1"/>
  <c r="M18" i="29"/>
  <c r="N18" i="29" s="1"/>
  <c r="K18" i="29"/>
  <c r="L18" i="29" s="1"/>
  <c r="N99" i="28"/>
  <c r="O99" i="28" s="1"/>
  <c r="L99" i="28"/>
  <c r="M99" i="28" s="1"/>
  <c r="M18" i="28"/>
  <c r="N18" i="28" s="1"/>
  <c r="K18" i="28"/>
  <c r="L18" i="28" s="1"/>
  <c r="N103" i="25"/>
  <c r="O103" i="25" s="1"/>
  <c r="L103" i="25"/>
  <c r="M103" i="25" s="1"/>
  <c r="M22" i="25"/>
  <c r="N22" i="25" s="1"/>
  <c r="K22" i="25"/>
  <c r="L22" i="25" s="1"/>
  <c r="N101" i="24"/>
  <c r="O101" i="24" s="1"/>
  <c r="L101" i="24"/>
  <c r="M101" i="24" s="1"/>
  <c r="M20" i="24"/>
  <c r="N20" i="24" s="1"/>
  <c r="K20" i="24"/>
  <c r="L20" i="24" s="1"/>
  <c r="M21" i="23"/>
  <c r="N21" i="23" s="1"/>
  <c r="K21" i="23"/>
  <c r="L21" i="23" s="1"/>
  <c r="N102" i="23"/>
  <c r="O102" i="23" s="1"/>
  <c r="L102" i="23"/>
  <c r="M102" i="23" s="1"/>
  <c r="N103" i="22"/>
  <c r="O103" i="22" s="1"/>
  <c r="L103" i="22"/>
  <c r="M103" i="22" s="1"/>
  <c r="M22" i="22"/>
  <c r="N22" i="22" s="1"/>
  <c r="K22" i="22"/>
  <c r="L22" i="22" s="1"/>
  <c r="N106" i="11"/>
  <c r="O106" i="11" s="1"/>
  <c r="L106" i="11"/>
  <c r="M106" i="11" s="1"/>
  <c r="M25" i="11"/>
  <c r="N25" i="11" s="1"/>
  <c r="K25" i="11"/>
  <c r="L25" i="11" s="1"/>
  <c r="N107" i="10"/>
  <c r="O107" i="10" s="1"/>
  <c r="L107" i="10"/>
  <c r="M107" i="10" s="1"/>
  <c r="M26" i="10"/>
  <c r="N26" i="10" s="1"/>
  <c r="K26" i="10"/>
  <c r="L26" i="10" s="1"/>
  <c r="N106" i="9"/>
  <c r="O106" i="9" s="1"/>
  <c r="L106" i="9"/>
  <c r="M106" i="9" s="1"/>
  <c r="M25" i="9"/>
  <c r="N25" i="9" s="1"/>
  <c r="K25" i="9"/>
  <c r="L25" i="9" s="1"/>
  <c r="O25" i="9" s="1"/>
  <c r="N105" i="8"/>
  <c r="O105" i="8" s="1"/>
  <c r="L105" i="8"/>
  <c r="M105" i="8" s="1"/>
  <c r="M24" i="8"/>
  <c r="N24" i="8" s="1"/>
  <c r="K24" i="8"/>
  <c r="N107" i="7"/>
  <c r="O107" i="7" s="1"/>
  <c r="L107" i="7"/>
  <c r="M107" i="7" s="1"/>
  <c r="M26" i="7"/>
  <c r="N26" i="7" s="1"/>
  <c r="K26" i="7"/>
  <c r="L26" i="7" s="1"/>
  <c r="N105" i="6"/>
  <c r="O105" i="6" s="1"/>
  <c r="L105" i="6"/>
  <c r="M105" i="6" s="1"/>
  <c r="M24" i="6"/>
  <c r="N24" i="6" s="1"/>
  <c r="K24" i="6"/>
  <c r="L24" i="6" s="1"/>
  <c r="N104" i="5"/>
  <c r="O104" i="5" s="1"/>
  <c r="L104" i="5"/>
  <c r="M104" i="5" s="1"/>
  <c r="M23" i="5"/>
  <c r="N23" i="5" s="1"/>
  <c r="K23" i="5"/>
  <c r="L23" i="5" s="1"/>
  <c r="N104" i="4"/>
  <c r="O104" i="4" s="1"/>
  <c r="L104" i="4"/>
  <c r="M104" i="4" s="1"/>
  <c r="M23" i="4"/>
  <c r="N23" i="4" s="1"/>
  <c r="K23" i="4"/>
  <c r="L23" i="4" s="1"/>
  <c r="N104" i="3"/>
  <c r="O104" i="3" s="1"/>
  <c r="L104" i="3"/>
  <c r="M104" i="3" s="1"/>
  <c r="M23" i="3"/>
  <c r="N23" i="3" s="1"/>
  <c r="K23" i="3"/>
  <c r="L23" i="3" s="1"/>
  <c r="N100" i="27"/>
  <c r="O100" i="27" s="1"/>
  <c r="L100" i="27"/>
  <c r="M100" i="27" s="1"/>
  <c r="N99" i="27"/>
  <c r="O99" i="27" s="1"/>
  <c r="L99" i="27"/>
  <c r="M99" i="27" s="1"/>
  <c r="M19" i="27"/>
  <c r="N19" i="27" s="1"/>
  <c r="K19" i="27"/>
  <c r="L19" i="27" s="1"/>
  <c r="M17" i="31"/>
  <c r="N17" i="31" s="1"/>
  <c r="K17" i="31"/>
  <c r="L17" i="31" s="1"/>
  <c r="W34" i="17"/>
  <c r="P34" i="17"/>
  <c r="P154" i="31"/>
  <c r="O154" i="31"/>
  <c r="M154" i="31"/>
  <c r="P153" i="31"/>
  <c r="O153" i="31"/>
  <c r="M153" i="31"/>
  <c r="P152" i="31"/>
  <c r="O152" i="31"/>
  <c r="M152" i="31"/>
  <c r="P151" i="31"/>
  <c r="O151" i="31"/>
  <c r="M151" i="31"/>
  <c r="P150" i="31"/>
  <c r="O150" i="31"/>
  <c r="M150" i="31"/>
  <c r="P149" i="31"/>
  <c r="O149" i="31"/>
  <c r="M149" i="31"/>
  <c r="P148" i="31"/>
  <c r="O148" i="31"/>
  <c r="M148" i="31"/>
  <c r="P147" i="31"/>
  <c r="O147" i="31"/>
  <c r="M147" i="31"/>
  <c r="P146" i="31"/>
  <c r="O146" i="31"/>
  <c r="M146" i="31"/>
  <c r="P145" i="31"/>
  <c r="O145" i="31"/>
  <c r="M145" i="31"/>
  <c r="P144" i="31"/>
  <c r="O144" i="31"/>
  <c r="M144" i="31"/>
  <c r="P143" i="31"/>
  <c r="O143" i="31"/>
  <c r="M143" i="31"/>
  <c r="P142" i="31"/>
  <c r="O142" i="31"/>
  <c r="M142" i="31"/>
  <c r="P141" i="31"/>
  <c r="O141" i="31"/>
  <c r="M141" i="31"/>
  <c r="P140" i="31"/>
  <c r="O140" i="31"/>
  <c r="M140" i="31"/>
  <c r="P139" i="31"/>
  <c r="O139" i="31"/>
  <c r="M139" i="31"/>
  <c r="P138" i="31"/>
  <c r="O138" i="31"/>
  <c r="M138" i="31"/>
  <c r="P137" i="31"/>
  <c r="O137" i="31"/>
  <c r="M137" i="31"/>
  <c r="P136" i="31"/>
  <c r="O136" i="31"/>
  <c r="M136" i="31"/>
  <c r="P135" i="31"/>
  <c r="O135" i="31"/>
  <c r="M135" i="31"/>
  <c r="P134" i="31"/>
  <c r="O134" i="31"/>
  <c r="M134" i="31"/>
  <c r="P133" i="31"/>
  <c r="O133" i="31"/>
  <c r="M133" i="31"/>
  <c r="P132" i="31"/>
  <c r="O132" i="31"/>
  <c r="M132" i="31"/>
  <c r="P131" i="31"/>
  <c r="O131" i="31"/>
  <c r="M131" i="31"/>
  <c r="O130" i="31"/>
  <c r="M130" i="31"/>
  <c r="O129" i="31"/>
  <c r="M129" i="31"/>
  <c r="O128" i="31"/>
  <c r="M128" i="31"/>
  <c r="O127" i="31"/>
  <c r="M127" i="31"/>
  <c r="O126" i="31"/>
  <c r="M126" i="31"/>
  <c r="O125" i="31"/>
  <c r="M125" i="31"/>
  <c r="O124" i="31"/>
  <c r="M124" i="31"/>
  <c r="O123" i="31"/>
  <c r="M123" i="31"/>
  <c r="O122" i="31"/>
  <c r="M122" i="31"/>
  <c r="O121" i="31"/>
  <c r="M121" i="31"/>
  <c r="O120" i="31"/>
  <c r="M120" i="31"/>
  <c r="O119" i="31"/>
  <c r="M119" i="31"/>
  <c r="O118" i="31"/>
  <c r="M118" i="31"/>
  <c r="O117" i="31"/>
  <c r="M117" i="31"/>
  <c r="O116" i="31"/>
  <c r="M116" i="31"/>
  <c r="O115" i="31"/>
  <c r="M115" i="31"/>
  <c r="O114" i="31"/>
  <c r="M114" i="31"/>
  <c r="O113" i="31"/>
  <c r="M113" i="31"/>
  <c r="O112" i="31"/>
  <c r="M112" i="31"/>
  <c r="O111" i="31"/>
  <c r="M111" i="31"/>
  <c r="O110" i="31"/>
  <c r="M110" i="31"/>
  <c r="O105" i="31"/>
  <c r="O104" i="31"/>
  <c r="L93" i="31"/>
  <c r="J93" i="31"/>
  <c r="E91" i="31"/>
  <c r="D91" i="31"/>
  <c r="D89" i="31"/>
  <c r="N72" i="31"/>
  <c r="L72" i="31"/>
  <c r="N71" i="31"/>
  <c r="L71" i="31"/>
  <c r="N70" i="31"/>
  <c r="L70" i="31"/>
  <c r="N69" i="31"/>
  <c r="L69" i="31"/>
  <c r="N68" i="31"/>
  <c r="L68" i="31"/>
  <c r="N67" i="31"/>
  <c r="L67" i="31"/>
  <c r="N66" i="31"/>
  <c r="L66" i="31"/>
  <c r="N65" i="31"/>
  <c r="L65" i="31"/>
  <c r="N64" i="31"/>
  <c r="L64" i="31"/>
  <c r="N63" i="31"/>
  <c r="L63" i="31"/>
  <c r="N62" i="31"/>
  <c r="L62" i="31"/>
  <c r="N61" i="31"/>
  <c r="L61" i="31"/>
  <c r="N60" i="31"/>
  <c r="L60" i="31"/>
  <c r="N59" i="31"/>
  <c r="L59" i="31"/>
  <c r="N58" i="31"/>
  <c r="L58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N45" i="31"/>
  <c r="L45" i="31"/>
  <c r="N44" i="31"/>
  <c r="L44" i="31"/>
  <c r="N43" i="31"/>
  <c r="L43" i="31"/>
  <c r="N42" i="31"/>
  <c r="L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N35" i="31"/>
  <c r="L35" i="31"/>
  <c r="N34" i="31"/>
  <c r="L34" i="31"/>
  <c r="N33" i="31"/>
  <c r="L33" i="31"/>
  <c r="N32" i="31"/>
  <c r="L32" i="31"/>
  <c r="N31" i="31"/>
  <c r="L31" i="31"/>
  <c r="N30" i="31"/>
  <c r="L30" i="31"/>
  <c r="N29" i="31"/>
  <c r="L29" i="31"/>
  <c r="N25" i="31"/>
  <c r="N24" i="31"/>
  <c r="N23" i="31"/>
  <c r="N22" i="31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11" i="31"/>
  <c r="I11" i="31"/>
  <c r="P83" i="31"/>
  <c r="P154" i="30"/>
  <c r="O154" i="30"/>
  <c r="M154" i="30"/>
  <c r="P153" i="30"/>
  <c r="O153" i="30"/>
  <c r="M153" i="30"/>
  <c r="P152" i="30"/>
  <c r="O152" i="30"/>
  <c r="M152" i="30"/>
  <c r="P151" i="30"/>
  <c r="O151" i="30"/>
  <c r="M151" i="30"/>
  <c r="P150" i="30"/>
  <c r="O150" i="30"/>
  <c r="M150" i="30"/>
  <c r="P149" i="30"/>
  <c r="O149" i="30"/>
  <c r="M149" i="30"/>
  <c r="P148" i="30"/>
  <c r="O148" i="30"/>
  <c r="M148" i="30"/>
  <c r="P147" i="30"/>
  <c r="O147" i="30"/>
  <c r="M147" i="30"/>
  <c r="P146" i="30"/>
  <c r="O146" i="30"/>
  <c r="M146" i="30"/>
  <c r="P145" i="30"/>
  <c r="O145" i="30"/>
  <c r="M145" i="30"/>
  <c r="P144" i="30"/>
  <c r="O144" i="30"/>
  <c r="M144" i="30"/>
  <c r="P143" i="30"/>
  <c r="O143" i="30"/>
  <c r="M143" i="30"/>
  <c r="P142" i="30"/>
  <c r="O142" i="30"/>
  <c r="M142" i="30"/>
  <c r="P141" i="30"/>
  <c r="O141" i="30"/>
  <c r="M141" i="30"/>
  <c r="P140" i="30"/>
  <c r="O140" i="30"/>
  <c r="M140" i="30"/>
  <c r="P139" i="30"/>
  <c r="O139" i="30"/>
  <c r="M139" i="30"/>
  <c r="P138" i="30"/>
  <c r="O138" i="30"/>
  <c r="M138" i="30"/>
  <c r="P137" i="30"/>
  <c r="O137" i="30"/>
  <c r="M137" i="30"/>
  <c r="P136" i="30"/>
  <c r="O136" i="30"/>
  <c r="M136" i="30"/>
  <c r="P135" i="30"/>
  <c r="O135" i="30"/>
  <c r="M135" i="30"/>
  <c r="P134" i="30"/>
  <c r="O134" i="30"/>
  <c r="M134" i="30"/>
  <c r="P133" i="30"/>
  <c r="O133" i="30"/>
  <c r="M133" i="30"/>
  <c r="P132" i="30"/>
  <c r="O132" i="30"/>
  <c r="M132" i="30"/>
  <c r="P131" i="30"/>
  <c r="O131" i="30"/>
  <c r="M131" i="30"/>
  <c r="O130" i="30"/>
  <c r="M130" i="30"/>
  <c r="O129" i="30"/>
  <c r="M129" i="30"/>
  <c r="O128" i="30"/>
  <c r="M128" i="30"/>
  <c r="O127" i="30"/>
  <c r="M127" i="30"/>
  <c r="O126" i="30"/>
  <c r="M126" i="30"/>
  <c r="O125" i="30"/>
  <c r="M125" i="30"/>
  <c r="O124" i="30"/>
  <c r="M124" i="30"/>
  <c r="O123" i="30"/>
  <c r="M123" i="30"/>
  <c r="O122" i="30"/>
  <c r="M122" i="30"/>
  <c r="O121" i="30"/>
  <c r="M121" i="30"/>
  <c r="O120" i="30"/>
  <c r="M120" i="30"/>
  <c r="O119" i="30"/>
  <c r="M119" i="30"/>
  <c r="O118" i="30"/>
  <c r="M118" i="30"/>
  <c r="O117" i="30"/>
  <c r="M117" i="30"/>
  <c r="O116" i="30"/>
  <c r="M116" i="30"/>
  <c r="O115" i="30"/>
  <c r="M115" i="30"/>
  <c r="O114" i="30"/>
  <c r="M114" i="30"/>
  <c r="O113" i="30"/>
  <c r="M113" i="30"/>
  <c r="O112" i="30"/>
  <c r="M112" i="30"/>
  <c r="O111" i="30"/>
  <c r="M111" i="30"/>
  <c r="O110" i="30"/>
  <c r="M110" i="30"/>
  <c r="O109" i="30"/>
  <c r="M109" i="30"/>
  <c r="O104" i="30"/>
  <c r="O103" i="30"/>
  <c r="D96" i="30"/>
  <c r="L93" i="30"/>
  <c r="J93" i="30"/>
  <c r="E91" i="30"/>
  <c r="D91" i="30"/>
  <c r="D89" i="30"/>
  <c r="N72" i="30"/>
  <c r="L72" i="30"/>
  <c r="N71" i="30"/>
  <c r="L71" i="30"/>
  <c r="N70" i="30"/>
  <c r="L70" i="30"/>
  <c r="N69" i="30"/>
  <c r="L69" i="30"/>
  <c r="N68" i="30"/>
  <c r="L68" i="30"/>
  <c r="N67" i="30"/>
  <c r="L67" i="30"/>
  <c r="N66" i="30"/>
  <c r="L66" i="30"/>
  <c r="N65" i="30"/>
  <c r="L65" i="30"/>
  <c r="N64" i="30"/>
  <c r="L64" i="30"/>
  <c r="N63" i="30"/>
  <c r="L63" i="30"/>
  <c r="N62" i="30"/>
  <c r="L62" i="30"/>
  <c r="N61" i="30"/>
  <c r="L61" i="30"/>
  <c r="N60" i="30"/>
  <c r="L60" i="30"/>
  <c r="N59" i="30"/>
  <c r="L59" i="30"/>
  <c r="N58" i="30"/>
  <c r="L58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N45" i="30"/>
  <c r="L45" i="30"/>
  <c r="N44" i="30"/>
  <c r="L44" i="30"/>
  <c r="N43" i="30"/>
  <c r="L43" i="30"/>
  <c r="N42" i="30"/>
  <c r="L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N35" i="30"/>
  <c r="L35" i="30"/>
  <c r="N34" i="30"/>
  <c r="L34" i="30"/>
  <c r="N33" i="30"/>
  <c r="L33" i="30"/>
  <c r="N32" i="30"/>
  <c r="L32" i="30"/>
  <c r="N31" i="30"/>
  <c r="L31" i="30"/>
  <c r="N30" i="30"/>
  <c r="L30" i="30"/>
  <c r="N29" i="30"/>
  <c r="L29" i="30"/>
  <c r="N28" i="30"/>
  <c r="L28" i="30"/>
  <c r="N24" i="30"/>
  <c r="N23" i="30"/>
  <c r="N22" i="30"/>
  <c r="N2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11" i="30"/>
  <c r="I11" i="30"/>
  <c r="D8" i="30"/>
  <c r="D90" i="30" s="1"/>
  <c r="P83" i="30"/>
  <c r="M17" i="29"/>
  <c r="N17" i="29" s="1"/>
  <c r="K17" i="29"/>
  <c r="L17" i="29" s="1"/>
  <c r="M17" i="28"/>
  <c r="N17" i="28" s="1"/>
  <c r="K17" i="28"/>
  <c r="L17" i="28" s="1"/>
  <c r="N102" i="25"/>
  <c r="O102" i="25" s="1"/>
  <c r="L102" i="25"/>
  <c r="M102" i="25" s="1"/>
  <c r="M21" i="25"/>
  <c r="N21" i="25" s="1"/>
  <c r="K21" i="25"/>
  <c r="L21" i="25" s="1"/>
  <c r="N100" i="24"/>
  <c r="O100" i="24" s="1"/>
  <c r="L100" i="24"/>
  <c r="M100" i="24" s="1"/>
  <c r="M19" i="24"/>
  <c r="N19" i="24" s="1"/>
  <c r="K19" i="24"/>
  <c r="L19" i="24" s="1"/>
  <c r="N101" i="23"/>
  <c r="O101" i="23" s="1"/>
  <c r="L101" i="23"/>
  <c r="M101" i="23" s="1"/>
  <c r="M20" i="23"/>
  <c r="N20" i="23" s="1"/>
  <c r="K20" i="23"/>
  <c r="L20" i="23" s="1"/>
  <c r="N102" i="22"/>
  <c r="O102" i="22" s="1"/>
  <c r="L102" i="22"/>
  <c r="M102" i="22" s="1"/>
  <c r="M21" i="22"/>
  <c r="N21" i="22" s="1"/>
  <c r="K21" i="22"/>
  <c r="L21" i="22" s="1"/>
  <c r="N105" i="11"/>
  <c r="O105" i="11" s="1"/>
  <c r="L105" i="11"/>
  <c r="M105" i="11" s="1"/>
  <c r="M24" i="11"/>
  <c r="K24" i="11"/>
  <c r="L24" i="11" s="1"/>
  <c r="N106" i="10"/>
  <c r="O106" i="10" s="1"/>
  <c r="L106" i="10"/>
  <c r="M106" i="10" s="1"/>
  <c r="M25" i="10"/>
  <c r="N25" i="10" s="1"/>
  <c r="K25" i="10"/>
  <c r="L25" i="10" s="1"/>
  <c r="N105" i="9"/>
  <c r="O105" i="9" s="1"/>
  <c r="L105" i="9"/>
  <c r="M105" i="9" s="1"/>
  <c r="M24" i="9"/>
  <c r="N24" i="9" s="1"/>
  <c r="K24" i="9"/>
  <c r="L24" i="9" s="1"/>
  <c r="N104" i="8"/>
  <c r="O104" i="8" s="1"/>
  <c r="L104" i="8"/>
  <c r="M104" i="8" s="1"/>
  <c r="M23" i="8"/>
  <c r="N23" i="8" s="1"/>
  <c r="K23" i="8"/>
  <c r="L23" i="8" s="1"/>
  <c r="N106" i="7"/>
  <c r="O106" i="7" s="1"/>
  <c r="L106" i="7"/>
  <c r="M106" i="7" s="1"/>
  <c r="M25" i="7"/>
  <c r="N25" i="7" s="1"/>
  <c r="K25" i="7"/>
  <c r="L25" i="7" s="1"/>
  <c r="N104" i="6"/>
  <c r="O104" i="6" s="1"/>
  <c r="L104" i="6"/>
  <c r="M104" i="6" s="1"/>
  <c r="M23" i="6"/>
  <c r="N23" i="6" s="1"/>
  <c r="K23" i="6"/>
  <c r="L23" i="6" s="1"/>
  <c r="O23" i="6" s="1"/>
  <c r="N103" i="5"/>
  <c r="O103" i="5" s="1"/>
  <c r="L103" i="5"/>
  <c r="M103" i="5" s="1"/>
  <c r="M22" i="5"/>
  <c r="N22" i="5" s="1"/>
  <c r="K22" i="5"/>
  <c r="L22" i="5" s="1"/>
  <c r="N103" i="4"/>
  <c r="O103" i="4" s="1"/>
  <c r="L103" i="4"/>
  <c r="M103" i="4" s="1"/>
  <c r="M22" i="4"/>
  <c r="N22" i="4" s="1"/>
  <c r="K22" i="4"/>
  <c r="L22" i="4" s="1"/>
  <c r="N103" i="3"/>
  <c r="O103" i="3" s="1"/>
  <c r="L103" i="3"/>
  <c r="M103" i="3" s="1"/>
  <c r="M22" i="3"/>
  <c r="K22" i="3"/>
  <c r="L22" i="3" s="1"/>
  <c r="D8" i="13"/>
  <c r="D92" i="23"/>
  <c r="P83" i="29"/>
  <c r="P83" i="28"/>
  <c r="P83" i="27"/>
  <c r="D8" i="29"/>
  <c r="D90" i="29" s="1"/>
  <c r="D8" i="28"/>
  <c r="D90" i="28" s="1"/>
  <c r="D8" i="27"/>
  <c r="D90" i="27" s="1"/>
  <c r="D8" i="25"/>
  <c r="D8" i="24"/>
  <c r="D90" i="24" s="1"/>
  <c r="D8" i="22"/>
  <c r="D90" i="22" s="1"/>
  <c r="D8" i="11"/>
  <c r="D90" i="11" s="1"/>
  <c r="D8" i="10"/>
  <c r="D90" i="10" s="1"/>
  <c r="E91" i="28"/>
  <c r="E91" i="29"/>
  <c r="W33" i="17"/>
  <c r="P33" i="17"/>
  <c r="W32" i="17"/>
  <c r="P32" i="17"/>
  <c r="N102" i="5"/>
  <c r="O102" i="5" s="1"/>
  <c r="P102" i="5" s="1"/>
  <c r="L102" i="5"/>
  <c r="M102" i="5" s="1"/>
  <c r="P154" i="29"/>
  <c r="O154" i="29"/>
  <c r="M154" i="29"/>
  <c r="P153" i="29"/>
  <c r="O153" i="29"/>
  <c r="M153" i="29"/>
  <c r="P152" i="29"/>
  <c r="O152" i="29"/>
  <c r="M152" i="29"/>
  <c r="P151" i="29"/>
  <c r="O151" i="29"/>
  <c r="M151" i="29"/>
  <c r="P150" i="29"/>
  <c r="O150" i="29"/>
  <c r="M150" i="29"/>
  <c r="P149" i="29"/>
  <c r="O149" i="29"/>
  <c r="M149" i="29"/>
  <c r="P148" i="29"/>
  <c r="O148" i="29"/>
  <c r="M148" i="29"/>
  <c r="P147" i="29"/>
  <c r="O147" i="29"/>
  <c r="M147" i="29"/>
  <c r="P146" i="29"/>
  <c r="O146" i="29"/>
  <c r="M146" i="29"/>
  <c r="P145" i="29"/>
  <c r="O145" i="29"/>
  <c r="M145" i="29"/>
  <c r="P144" i="29"/>
  <c r="O144" i="29"/>
  <c r="M144" i="29"/>
  <c r="P143" i="29"/>
  <c r="O143" i="29"/>
  <c r="M143" i="29"/>
  <c r="P142" i="29"/>
  <c r="O142" i="29"/>
  <c r="M142" i="29"/>
  <c r="P141" i="29"/>
  <c r="O141" i="29"/>
  <c r="M141" i="29"/>
  <c r="P140" i="29"/>
  <c r="O140" i="29"/>
  <c r="M140" i="29"/>
  <c r="P139" i="29"/>
  <c r="O139" i="29"/>
  <c r="M139" i="29"/>
  <c r="P138" i="29"/>
  <c r="O138" i="29"/>
  <c r="M138" i="29"/>
  <c r="P137" i="29"/>
  <c r="O137" i="29"/>
  <c r="M137" i="29"/>
  <c r="P136" i="29"/>
  <c r="O136" i="29"/>
  <c r="M136" i="29"/>
  <c r="P135" i="29"/>
  <c r="O135" i="29"/>
  <c r="M135" i="29"/>
  <c r="P134" i="29"/>
  <c r="O134" i="29"/>
  <c r="M134" i="29"/>
  <c r="P133" i="29"/>
  <c r="O133" i="29"/>
  <c r="M133" i="29"/>
  <c r="P132" i="29"/>
  <c r="O132" i="29"/>
  <c r="M132" i="29"/>
  <c r="P131" i="29"/>
  <c r="O131" i="29"/>
  <c r="M131" i="29"/>
  <c r="O130" i="29"/>
  <c r="M130" i="29"/>
  <c r="O129" i="29"/>
  <c r="M129" i="29"/>
  <c r="O128" i="29"/>
  <c r="M128" i="29"/>
  <c r="O127" i="29"/>
  <c r="M127" i="29"/>
  <c r="O126" i="29"/>
  <c r="M126" i="29"/>
  <c r="O125" i="29"/>
  <c r="M125" i="29"/>
  <c r="O124" i="29"/>
  <c r="M124" i="29"/>
  <c r="O123" i="29"/>
  <c r="M123" i="29"/>
  <c r="O122" i="29"/>
  <c r="M122" i="29"/>
  <c r="O121" i="29"/>
  <c r="M121" i="29"/>
  <c r="O120" i="29"/>
  <c r="M120" i="29"/>
  <c r="O119" i="29"/>
  <c r="M119" i="29"/>
  <c r="O118" i="29"/>
  <c r="M118" i="29"/>
  <c r="O117" i="29"/>
  <c r="M117" i="29"/>
  <c r="O116" i="29"/>
  <c r="M116" i="29"/>
  <c r="O115" i="29"/>
  <c r="M115" i="29"/>
  <c r="O114" i="29"/>
  <c r="M114" i="29"/>
  <c r="O113" i="29"/>
  <c r="M113" i="29"/>
  <c r="O112" i="29"/>
  <c r="M112" i="29"/>
  <c r="O111" i="29"/>
  <c r="M111" i="29"/>
  <c r="O110" i="29"/>
  <c r="M110" i="29"/>
  <c r="O105" i="29"/>
  <c r="O104" i="29"/>
  <c r="D96" i="29"/>
  <c r="L93" i="29"/>
  <c r="J93" i="29"/>
  <c r="D91" i="29"/>
  <c r="D89" i="29"/>
  <c r="N72" i="29"/>
  <c r="L72" i="29"/>
  <c r="N71" i="29"/>
  <c r="L71" i="29"/>
  <c r="N70" i="29"/>
  <c r="L70" i="29"/>
  <c r="N69" i="29"/>
  <c r="L69" i="29"/>
  <c r="N68" i="29"/>
  <c r="L68" i="29"/>
  <c r="N67" i="29"/>
  <c r="L67" i="29"/>
  <c r="N66" i="29"/>
  <c r="L66" i="29"/>
  <c r="N65" i="29"/>
  <c r="L65" i="29"/>
  <c r="N64" i="29"/>
  <c r="L64" i="29"/>
  <c r="N63" i="29"/>
  <c r="L63" i="29"/>
  <c r="N62" i="29"/>
  <c r="L62" i="29"/>
  <c r="N61" i="29"/>
  <c r="L61" i="29"/>
  <c r="N60" i="29"/>
  <c r="L60" i="29"/>
  <c r="N59" i="29"/>
  <c r="L59" i="29"/>
  <c r="N58" i="29"/>
  <c r="L58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N45" i="29"/>
  <c r="L45" i="29"/>
  <c r="N44" i="29"/>
  <c r="L44" i="29"/>
  <c r="N43" i="29"/>
  <c r="L43" i="29"/>
  <c r="N42" i="29"/>
  <c r="L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N35" i="29"/>
  <c r="L35" i="29"/>
  <c r="N34" i="29"/>
  <c r="L34" i="29"/>
  <c r="N33" i="29"/>
  <c r="L33" i="29"/>
  <c r="N32" i="29"/>
  <c r="L32" i="29"/>
  <c r="N31" i="29"/>
  <c r="L31" i="29"/>
  <c r="N30" i="29"/>
  <c r="L30" i="29"/>
  <c r="N29" i="29"/>
  <c r="L29" i="29"/>
  <c r="N25" i="29"/>
  <c r="N24" i="29"/>
  <c r="N23" i="29"/>
  <c r="N22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11" i="29"/>
  <c r="I11" i="29"/>
  <c r="P154" i="28"/>
  <c r="O154" i="28"/>
  <c r="M154" i="28"/>
  <c r="P153" i="28"/>
  <c r="O153" i="28"/>
  <c r="M153" i="28"/>
  <c r="P152" i="28"/>
  <c r="O152" i="28"/>
  <c r="M152" i="28"/>
  <c r="P151" i="28"/>
  <c r="O151" i="28"/>
  <c r="M151" i="28"/>
  <c r="P150" i="28"/>
  <c r="O150" i="28"/>
  <c r="M150" i="28"/>
  <c r="P149" i="28"/>
  <c r="O149" i="28"/>
  <c r="M149" i="28"/>
  <c r="P148" i="28"/>
  <c r="O148" i="28"/>
  <c r="M148" i="28"/>
  <c r="P147" i="28"/>
  <c r="O147" i="28"/>
  <c r="M147" i="28"/>
  <c r="P146" i="28"/>
  <c r="O146" i="28"/>
  <c r="M146" i="28"/>
  <c r="P145" i="28"/>
  <c r="O145" i="28"/>
  <c r="M145" i="28"/>
  <c r="P144" i="28"/>
  <c r="O144" i="28"/>
  <c r="M144" i="28"/>
  <c r="P143" i="28"/>
  <c r="O143" i="28"/>
  <c r="M143" i="28"/>
  <c r="P142" i="28"/>
  <c r="O142" i="28"/>
  <c r="M142" i="28"/>
  <c r="P141" i="28"/>
  <c r="O141" i="28"/>
  <c r="M141" i="28"/>
  <c r="P140" i="28"/>
  <c r="O140" i="28"/>
  <c r="M140" i="28"/>
  <c r="P139" i="28"/>
  <c r="O139" i="28"/>
  <c r="M139" i="28"/>
  <c r="P138" i="28"/>
  <c r="O138" i="28"/>
  <c r="M138" i="28"/>
  <c r="P137" i="28"/>
  <c r="O137" i="28"/>
  <c r="M137" i="28"/>
  <c r="P136" i="28"/>
  <c r="O136" i="28"/>
  <c r="M136" i="28"/>
  <c r="P135" i="28"/>
  <c r="O135" i="28"/>
  <c r="M135" i="28"/>
  <c r="P134" i="28"/>
  <c r="O134" i="28"/>
  <c r="M134" i="28"/>
  <c r="P133" i="28"/>
  <c r="O133" i="28"/>
  <c r="M133" i="28"/>
  <c r="P132" i="28"/>
  <c r="O132" i="28"/>
  <c r="M132" i="28"/>
  <c r="P131" i="28"/>
  <c r="O131" i="28"/>
  <c r="M131" i="28"/>
  <c r="O130" i="28"/>
  <c r="M130" i="28"/>
  <c r="O129" i="28"/>
  <c r="M129" i="28"/>
  <c r="O128" i="28"/>
  <c r="M128" i="28"/>
  <c r="O127" i="28"/>
  <c r="M127" i="28"/>
  <c r="O126" i="28"/>
  <c r="M126" i="28"/>
  <c r="O125" i="28"/>
  <c r="M125" i="28"/>
  <c r="O124" i="28"/>
  <c r="M124" i="28"/>
  <c r="O123" i="28"/>
  <c r="M123" i="28"/>
  <c r="O122" i="28"/>
  <c r="M122" i="28"/>
  <c r="O121" i="28"/>
  <c r="M121" i="28"/>
  <c r="O120" i="28"/>
  <c r="M120" i="28"/>
  <c r="O119" i="28"/>
  <c r="M119" i="28"/>
  <c r="O118" i="28"/>
  <c r="M118" i="28"/>
  <c r="O117" i="28"/>
  <c r="M117" i="28"/>
  <c r="O116" i="28"/>
  <c r="M116" i="28"/>
  <c r="O115" i="28"/>
  <c r="M115" i="28"/>
  <c r="O114" i="28"/>
  <c r="M114" i="28"/>
  <c r="O113" i="28"/>
  <c r="M113" i="28"/>
  <c r="O112" i="28"/>
  <c r="M112" i="28"/>
  <c r="O111" i="28"/>
  <c r="M111" i="28"/>
  <c r="O110" i="28"/>
  <c r="M110" i="28"/>
  <c r="O105" i="28"/>
  <c r="O104" i="28"/>
  <c r="D96" i="28"/>
  <c r="D94" i="28"/>
  <c r="L93" i="28"/>
  <c r="J93" i="2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2" i="28"/>
  <c r="D91" i="28"/>
  <c r="D89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4" i="28"/>
  <c r="L64" i="28"/>
  <c r="N63" i="28"/>
  <c r="L63" i="28"/>
  <c r="N62" i="28"/>
  <c r="L62" i="28"/>
  <c r="N61" i="28"/>
  <c r="L61" i="28"/>
  <c r="N60" i="28"/>
  <c r="L60" i="28"/>
  <c r="N59" i="28"/>
  <c r="L59" i="28"/>
  <c r="N58" i="28"/>
  <c r="L58" i="28"/>
  <c r="N57" i="28"/>
  <c r="L57" i="28"/>
  <c r="N56" i="28"/>
  <c r="L56" i="28"/>
  <c r="N55" i="28"/>
  <c r="L55" i="28"/>
  <c r="N54" i="28"/>
  <c r="L54" i="28"/>
  <c r="N53" i="28"/>
  <c r="L53" i="28"/>
  <c r="N52" i="28"/>
  <c r="L52" i="28"/>
  <c r="N51" i="28"/>
  <c r="L51" i="28"/>
  <c r="N50" i="28"/>
  <c r="L50" i="28"/>
  <c r="N49" i="28"/>
  <c r="L49" i="28"/>
  <c r="N48" i="28"/>
  <c r="L48" i="28"/>
  <c r="N47" i="28"/>
  <c r="L47" i="28"/>
  <c r="N46" i="28"/>
  <c r="L46" i="28"/>
  <c r="N45" i="28"/>
  <c r="L45" i="28"/>
  <c r="N44" i="28"/>
  <c r="L44" i="28"/>
  <c r="N43" i="28"/>
  <c r="L43" i="28"/>
  <c r="N42" i="28"/>
  <c r="L42" i="28"/>
  <c r="N41" i="28"/>
  <c r="L41" i="28"/>
  <c r="N40" i="28"/>
  <c r="L40" i="28"/>
  <c r="N39" i="28"/>
  <c r="L39" i="28"/>
  <c r="N38" i="28"/>
  <c r="L38" i="28"/>
  <c r="N37" i="28"/>
  <c r="L37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N25" i="28"/>
  <c r="N24" i="28"/>
  <c r="N23" i="28"/>
  <c r="N22" i="28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11" i="28"/>
  <c r="I11" i="28"/>
  <c r="D94" i="27"/>
  <c r="D92" i="27"/>
  <c r="M17" i="27"/>
  <c r="N17" i="27" s="1"/>
  <c r="K17" i="27"/>
  <c r="L17" i="27" s="1"/>
  <c r="N101" i="25"/>
  <c r="O101" i="25" s="1"/>
  <c r="L101" i="25"/>
  <c r="M101" i="25" s="1"/>
  <c r="N100" i="25"/>
  <c r="O100" i="25" s="1"/>
  <c r="L100" i="25"/>
  <c r="M100" i="25" s="1"/>
  <c r="N99" i="25"/>
  <c r="O99" i="25" s="1"/>
  <c r="L99" i="25"/>
  <c r="M99" i="25" s="1"/>
  <c r="M20" i="25"/>
  <c r="N20" i="25" s="1"/>
  <c r="K20" i="25"/>
  <c r="L20" i="25" s="1"/>
  <c r="D92" i="24"/>
  <c r="N100" i="23"/>
  <c r="O100" i="23" s="1"/>
  <c r="L100" i="23"/>
  <c r="M100" i="23" s="1"/>
  <c r="M19" i="23"/>
  <c r="N19" i="23" s="1"/>
  <c r="K19" i="23"/>
  <c r="L19" i="23" s="1"/>
  <c r="N101" i="22"/>
  <c r="O101" i="22" s="1"/>
  <c r="L101" i="22"/>
  <c r="M101" i="22" s="1"/>
  <c r="M20" i="22"/>
  <c r="N20" i="22" s="1"/>
  <c r="K20" i="22"/>
  <c r="L20" i="22" s="1"/>
  <c r="N104" i="11"/>
  <c r="O104" i="11" s="1"/>
  <c r="L104" i="11"/>
  <c r="M104" i="11" s="1"/>
  <c r="M23" i="11"/>
  <c r="N23" i="11" s="1"/>
  <c r="K23" i="11"/>
  <c r="L23" i="11" s="1"/>
  <c r="N105" i="10"/>
  <c r="O105" i="10" s="1"/>
  <c r="L105" i="10"/>
  <c r="M105" i="10" s="1"/>
  <c r="M24" i="10"/>
  <c r="N24" i="10" s="1"/>
  <c r="K24" i="10"/>
  <c r="L24" i="10" s="1"/>
  <c r="N104" i="9"/>
  <c r="O104" i="9" s="1"/>
  <c r="L104" i="9"/>
  <c r="M104" i="9" s="1"/>
  <c r="M23" i="9"/>
  <c r="N23" i="9" s="1"/>
  <c r="K23" i="9"/>
  <c r="L23" i="9" s="1"/>
  <c r="N103" i="8"/>
  <c r="O103" i="8" s="1"/>
  <c r="L103" i="8"/>
  <c r="M103" i="8" s="1"/>
  <c r="P103" i="8" s="1"/>
  <c r="M22" i="8"/>
  <c r="N22" i="8" s="1"/>
  <c r="K22" i="8"/>
  <c r="L22" i="8" s="1"/>
  <c r="N105" i="7"/>
  <c r="O105" i="7" s="1"/>
  <c r="L105" i="7"/>
  <c r="M105" i="7" s="1"/>
  <c r="M24" i="7"/>
  <c r="N24" i="7" s="1"/>
  <c r="K24" i="7"/>
  <c r="L24" i="7" s="1"/>
  <c r="N103" i="6"/>
  <c r="O103" i="6" s="1"/>
  <c r="L103" i="6"/>
  <c r="M103" i="6" s="1"/>
  <c r="M22" i="6"/>
  <c r="N22" i="6" s="1"/>
  <c r="K22" i="6"/>
  <c r="L22" i="6" s="1"/>
  <c r="M21" i="5"/>
  <c r="N21" i="5" s="1"/>
  <c r="K21" i="5"/>
  <c r="L21" i="5" s="1"/>
  <c r="N102" i="4"/>
  <c r="O102" i="4" s="1"/>
  <c r="L102" i="4"/>
  <c r="M102" i="4" s="1"/>
  <c r="M21" i="4"/>
  <c r="N21" i="4" s="1"/>
  <c r="K21" i="4"/>
  <c r="L21" i="4" s="1"/>
  <c r="O21" i="4" s="1"/>
  <c r="N102" i="3"/>
  <c r="O102" i="3" s="1"/>
  <c r="L102" i="3"/>
  <c r="M102" i="3" s="1"/>
  <c r="M21" i="3"/>
  <c r="N21" i="3" s="1"/>
  <c r="K21" i="3"/>
  <c r="L21" i="3" s="1"/>
  <c r="P86" i="6"/>
  <c r="O5" i="6"/>
  <c r="P87" i="6" s="1"/>
  <c r="J153" i="25"/>
  <c r="J154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M19" i="25"/>
  <c r="N19" i="25" s="1"/>
  <c r="M18" i="25"/>
  <c r="N18" i="25" s="1"/>
  <c r="K19" i="25"/>
  <c r="L19" i="25" s="1"/>
  <c r="K18" i="25"/>
  <c r="L18" i="25" s="1"/>
  <c r="I19" i="25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W31" i="17"/>
  <c r="P31" i="17"/>
  <c r="P154" i="27"/>
  <c r="O154" i="27"/>
  <c r="M154" i="27"/>
  <c r="P153" i="27"/>
  <c r="O153" i="27"/>
  <c r="M153" i="27"/>
  <c r="P152" i="27"/>
  <c r="O152" i="27"/>
  <c r="M152" i="27"/>
  <c r="P151" i="27"/>
  <c r="O151" i="27"/>
  <c r="M151" i="27"/>
  <c r="P150" i="27"/>
  <c r="O150" i="27"/>
  <c r="M150" i="27"/>
  <c r="P149" i="27"/>
  <c r="O149" i="27"/>
  <c r="M149" i="27"/>
  <c r="P148" i="27"/>
  <c r="O148" i="27"/>
  <c r="M148" i="27"/>
  <c r="P147" i="27"/>
  <c r="O147" i="27"/>
  <c r="M147" i="27"/>
  <c r="P146" i="27"/>
  <c r="O146" i="27"/>
  <c r="M146" i="27"/>
  <c r="P145" i="27"/>
  <c r="O145" i="27"/>
  <c r="M145" i="27"/>
  <c r="P144" i="27"/>
  <c r="O144" i="27"/>
  <c r="M144" i="27"/>
  <c r="P143" i="27"/>
  <c r="O143" i="27"/>
  <c r="M143" i="27"/>
  <c r="P142" i="27"/>
  <c r="O142" i="27"/>
  <c r="M142" i="27"/>
  <c r="P141" i="27"/>
  <c r="O141" i="27"/>
  <c r="M141" i="27"/>
  <c r="P140" i="27"/>
  <c r="O140" i="27"/>
  <c r="M140" i="27"/>
  <c r="P139" i="27"/>
  <c r="O139" i="27"/>
  <c r="M139" i="27"/>
  <c r="P138" i="27"/>
  <c r="O138" i="27"/>
  <c r="M138" i="27"/>
  <c r="P137" i="27"/>
  <c r="O137" i="27"/>
  <c r="M137" i="27"/>
  <c r="P136" i="27"/>
  <c r="O136" i="27"/>
  <c r="M136" i="27"/>
  <c r="P135" i="27"/>
  <c r="O135" i="27"/>
  <c r="M135" i="27"/>
  <c r="P134" i="27"/>
  <c r="O134" i="27"/>
  <c r="M134" i="27"/>
  <c r="P133" i="27"/>
  <c r="O133" i="27"/>
  <c r="M133" i="27"/>
  <c r="P132" i="27"/>
  <c r="O132" i="27"/>
  <c r="M132" i="27"/>
  <c r="P131" i="27"/>
  <c r="O131" i="27"/>
  <c r="M131" i="27"/>
  <c r="O130" i="27"/>
  <c r="M130" i="27"/>
  <c r="O129" i="27"/>
  <c r="M129" i="27"/>
  <c r="O128" i="27"/>
  <c r="M128" i="27"/>
  <c r="O127" i="27"/>
  <c r="M127" i="27"/>
  <c r="O126" i="27"/>
  <c r="M126" i="27"/>
  <c r="O125" i="27"/>
  <c r="M125" i="27"/>
  <c r="O124" i="27"/>
  <c r="M124" i="27"/>
  <c r="O123" i="27"/>
  <c r="M123" i="27"/>
  <c r="O122" i="27"/>
  <c r="M122" i="27"/>
  <c r="O121" i="27"/>
  <c r="M121" i="27"/>
  <c r="O120" i="27"/>
  <c r="M120" i="27"/>
  <c r="O119" i="27"/>
  <c r="M119" i="27"/>
  <c r="O118" i="27"/>
  <c r="M118" i="27"/>
  <c r="O117" i="27"/>
  <c r="M117" i="27"/>
  <c r="O116" i="27"/>
  <c r="M116" i="27"/>
  <c r="O115" i="27"/>
  <c r="M115" i="27"/>
  <c r="O114" i="27"/>
  <c r="M114" i="27"/>
  <c r="O113" i="27"/>
  <c r="M113" i="27"/>
  <c r="O112" i="27"/>
  <c r="M112" i="27"/>
  <c r="O111" i="27"/>
  <c r="M111" i="27"/>
  <c r="O106" i="27"/>
  <c r="O105" i="27"/>
  <c r="D96" i="27"/>
  <c r="L93" i="27"/>
  <c r="J93" i="27"/>
  <c r="D91" i="27"/>
  <c r="D89" i="27"/>
  <c r="N72" i="27"/>
  <c r="L72" i="27"/>
  <c r="N71" i="27"/>
  <c r="L71" i="27"/>
  <c r="N70" i="27"/>
  <c r="L70" i="27"/>
  <c r="N69" i="27"/>
  <c r="L69" i="27"/>
  <c r="N68" i="27"/>
  <c r="L68" i="27"/>
  <c r="N67" i="27"/>
  <c r="L67" i="27"/>
  <c r="N66" i="27"/>
  <c r="L66" i="27"/>
  <c r="N65" i="27"/>
  <c r="L65" i="27"/>
  <c r="N64" i="27"/>
  <c r="L64" i="27"/>
  <c r="N63" i="27"/>
  <c r="L63" i="27"/>
  <c r="N62" i="27"/>
  <c r="L62" i="27"/>
  <c r="N61" i="27"/>
  <c r="L61" i="27"/>
  <c r="N60" i="27"/>
  <c r="L60" i="27"/>
  <c r="N59" i="27"/>
  <c r="L59" i="27"/>
  <c r="N58" i="27"/>
  <c r="L58" i="27"/>
  <c r="N57" i="27"/>
  <c r="L57" i="27"/>
  <c r="N56" i="27"/>
  <c r="L56" i="27"/>
  <c r="N55" i="27"/>
  <c r="L55" i="27"/>
  <c r="N54" i="27"/>
  <c r="L54" i="27"/>
  <c r="N53" i="27"/>
  <c r="L53" i="27"/>
  <c r="N52" i="27"/>
  <c r="L52" i="27"/>
  <c r="N51" i="27"/>
  <c r="L51" i="27"/>
  <c r="N50" i="27"/>
  <c r="L50" i="27"/>
  <c r="N49" i="27"/>
  <c r="L49" i="27"/>
  <c r="N48" i="27"/>
  <c r="L48" i="27"/>
  <c r="N47" i="27"/>
  <c r="L47" i="27"/>
  <c r="N46" i="27"/>
  <c r="L46" i="27"/>
  <c r="N45" i="27"/>
  <c r="L45" i="27"/>
  <c r="N44" i="27"/>
  <c r="L44" i="27"/>
  <c r="N43" i="27"/>
  <c r="L43" i="27"/>
  <c r="N42" i="27"/>
  <c r="L42" i="27"/>
  <c r="N41" i="27"/>
  <c r="L41" i="27"/>
  <c r="N40" i="27"/>
  <c r="L40" i="27"/>
  <c r="N39" i="27"/>
  <c r="L39" i="27"/>
  <c r="N38" i="27"/>
  <c r="L38" i="27"/>
  <c r="N37" i="27"/>
  <c r="L37" i="27"/>
  <c r="N36" i="27"/>
  <c r="L36" i="27"/>
  <c r="N35" i="27"/>
  <c r="L35" i="27"/>
  <c r="N34" i="27"/>
  <c r="L34" i="27"/>
  <c r="N33" i="27"/>
  <c r="L33" i="27"/>
  <c r="N32" i="27"/>
  <c r="L32" i="27"/>
  <c r="N31" i="27"/>
  <c r="L31" i="27"/>
  <c r="N30" i="27"/>
  <c r="L30" i="27"/>
  <c r="N26" i="27"/>
  <c r="N25" i="27"/>
  <c r="N24" i="27"/>
  <c r="N23" i="27"/>
  <c r="O23" i="27" s="1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11" i="27"/>
  <c r="I11" i="27"/>
  <c r="M17" i="25"/>
  <c r="N17" i="25" s="1"/>
  <c r="K17" i="25"/>
  <c r="L17" i="25" s="1"/>
  <c r="M17" i="24"/>
  <c r="N17" i="24" s="1"/>
  <c r="K17" i="24"/>
  <c r="N99" i="23"/>
  <c r="O99" i="23" s="1"/>
  <c r="L99" i="23"/>
  <c r="M18" i="23"/>
  <c r="N18" i="23" s="1"/>
  <c r="K18" i="23"/>
  <c r="L18" i="23" s="1"/>
  <c r="N100" i="22"/>
  <c r="O100" i="22" s="1"/>
  <c r="L100" i="22"/>
  <c r="M100" i="22" s="1"/>
  <c r="P100" i="22" s="1"/>
  <c r="M19" i="22"/>
  <c r="N19" i="22" s="1"/>
  <c r="K19" i="22"/>
  <c r="L19" i="22" s="1"/>
  <c r="N103" i="11"/>
  <c r="L103" i="11"/>
  <c r="M103" i="11" s="1"/>
  <c r="M22" i="11"/>
  <c r="N22" i="11" s="1"/>
  <c r="K22" i="11"/>
  <c r="L22" i="11" s="1"/>
  <c r="N104" i="10"/>
  <c r="L104" i="10"/>
  <c r="M104" i="10" s="1"/>
  <c r="M23" i="10"/>
  <c r="N23" i="10" s="1"/>
  <c r="K23" i="10"/>
  <c r="N103" i="9"/>
  <c r="L103" i="9"/>
  <c r="M22" i="9"/>
  <c r="N22" i="9" s="1"/>
  <c r="K22" i="9"/>
  <c r="L22" i="9" s="1"/>
  <c r="N102" i="8"/>
  <c r="O102" i="8" s="1"/>
  <c r="L102" i="8"/>
  <c r="M102" i="8" s="1"/>
  <c r="M21" i="8"/>
  <c r="N21" i="8" s="1"/>
  <c r="K21" i="8"/>
  <c r="N104" i="7"/>
  <c r="O104" i="7" s="1"/>
  <c r="L104" i="7"/>
  <c r="M23" i="7"/>
  <c r="N23" i="7" s="1"/>
  <c r="K23" i="7"/>
  <c r="L23" i="7" s="1"/>
  <c r="N102" i="6"/>
  <c r="L102" i="6"/>
  <c r="M102" i="6" s="1"/>
  <c r="M21" i="6"/>
  <c r="N21" i="6" s="1"/>
  <c r="K21" i="6"/>
  <c r="N101" i="5"/>
  <c r="L101" i="5"/>
  <c r="M20" i="5"/>
  <c r="N20" i="5" s="1"/>
  <c r="K20" i="5"/>
  <c r="L20" i="5" s="1"/>
  <c r="N101" i="4"/>
  <c r="O101" i="4" s="1"/>
  <c r="L101" i="4"/>
  <c r="M101" i="4" s="1"/>
  <c r="M20" i="4"/>
  <c r="N20" i="4" s="1"/>
  <c r="K20" i="4"/>
  <c r="N101" i="3"/>
  <c r="O101" i="3" s="1"/>
  <c r="L101" i="3"/>
  <c r="M20" i="3"/>
  <c r="N20" i="3" s="1"/>
  <c r="K20" i="3"/>
  <c r="L20" i="3" s="1"/>
  <c r="I10" i="45"/>
  <c r="F81" i="2"/>
  <c r="F87" i="2"/>
  <c r="F86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17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K19" i="4"/>
  <c r="P19" i="17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K19" i="5"/>
  <c r="L19" i="5" s="1"/>
  <c r="P20" i="17"/>
  <c r="C17" i="6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K20" i="6"/>
  <c r="P21" i="17"/>
  <c r="C17" i="7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K22" i="7"/>
  <c r="L22" i="7" s="1"/>
  <c r="P22" i="17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K20" i="8"/>
  <c r="P23" i="17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K21" i="9"/>
  <c r="L21" i="9" s="1"/>
  <c r="P24" i="17"/>
  <c r="C17" i="10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K22" i="10"/>
  <c r="L22" i="10" s="1"/>
  <c r="P25" i="17"/>
  <c r="C17" i="1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K21" i="11"/>
  <c r="L21" i="11" s="1"/>
  <c r="P26" i="17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P27" i="17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17" i="23"/>
  <c r="P28" i="17"/>
  <c r="P29" i="17"/>
  <c r="P30" i="17"/>
  <c r="W29" i="17"/>
  <c r="W30" i="17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M19" i="3"/>
  <c r="N19" i="3" s="1"/>
  <c r="O19" i="3" s="1"/>
  <c r="M19" i="4"/>
  <c r="M19" i="5"/>
  <c r="M20" i="6"/>
  <c r="M22" i="7"/>
  <c r="N22" i="7" s="1"/>
  <c r="M20" i="8"/>
  <c r="N20" i="8" s="1"/>
  <c r="M21" i="9"/>
  <c r="N21" i="9" s="1"/>
  <c r="M22" i="10"/>
  <c r="N22" i="10" s="1"/>
  <c r="M21" i="11"/>
  <c r="N21" i="11" s="1"/>
  <c r="O21" i="11" s="1"/>
  <c r="M18" i="22"/>
  <c r="N18" i="22" s="1"/>
  <c r="M17" i="23"/>
  <c r="N17" i="23" s="1"/>
  <c r="F81" i="1"/>
  <c r="F86" i="1"/>
  <c r="F90" i="1"/>
  <c r="P83" i="25"/>
  <c r="I11" i="25"/>
  <c r="K11" i="25"/>
  <c r="N27" i="25"/>
  <c r="N28" i="25"/>
  <c r="N29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0" i="25"/>
  <c r="D91" i="25"/>
  <c r="J93" i="25"/>
  <c r="L93" i="25"/>
  <c r="D96" i="25"/>
  <c r="P111" i="25"/>
  <c r="P112" i="25"/>
  <c r="M114" i="25"/>
  <c r="P114" i="25" s="1"/>
  <c r="M115" i="25"/>
  <c r="P115" i="25" s="1"/>
  <c r="M116" i="25"/>
  <c r="P116" i="25" s="1"/>
  <c r="M117" i="25"/>
  <c r="P117" i="25" s="1"/>
  <c r="M118" i="25"/>
  <c r="P118" i="25" s="1"/>
  <c r="M119" i="25"/>
  <c r="P119" i="25" s="1"/>
  <c r="M120" i="25"/>
  <c r="P120" i="25" s="1"/>
  <c r="M121" i="25"/>
  <c r="P121" i="25" s="1"/>
  <c r="M122" i="25"/>
  <c r="P122" i="25" s="1"/>
  <c r="M123" i="25"/>
  <c r="P123" i="25" s="1"/>
  <c r="M124" i="25"/>
  <c r="P124" i="25" s="1"/>
  <c r="M125" i="25"/>
  <c r="P125" i="25" s="1"/>
  <c r="M126" i="25"/>
  <c r="P126" i="25" s="1"/>
  <c r="M127" i="25"/>
  <c r="P127" i="25" s="1"/>
  <c r="M128" i="25"/>
  <c r="P128" i="25" s="1"/>
  <c r="M129" i="25"/>
  <c r="P129" i="25" s="1"/>
  <c r="M130" i="25"/>
  <c r="P130" i="25" s="1"/>
  <c r="M131" i="25"/>
  <c r="P131" i="25" s="1"/>
  <c r="M132" i="25"/>
  <c r="P132" i="25" s="1"/>
  <c r="M133" i="25"/>
  <c r="P133" i="25" s="1"/>
  <c r="M134" i="25"/>
  <c r="P134" i="25" s="1"/>
  <c r="M135" i="25"/>
  <c r="P135" i="25" s="1"/>
  <c r="M136" i="25"/>
  <c r="P136" i="25" s="1"/>
  <c r="M137" i="25"/>
  <c r="P137" i="25" s="1"/>
  <c r="M138" i="25"/>
  <c r="P138" i="25" s="1"/>
  <c r="M139" i="25"/>
  <c r="P139" i="25" s="1"/>
  <c r="M140" i="25"/>
  <c r="P140" i="25" s="1"/>
  <c r="M141" i="25"/>
  <c r="P141" i="25" s="1"/>
  <c r="M142" i="25"/>
  <c r="P142" i="25" s="1"/>
  <c r="M143" i="25"/>
  <c r="P143" i="25" s="1"/>
  <c r="M144" i="25"/>
  <c r="P144" i="25" s="1"/>
  <c r="M145" i="25"/>
  <c r="P145" i="25" s="1"/>
  <c r="M146" i="25"/>
  <c r="P146" i="25" s="1"/>
  <c r="M147" i="25"/>
  <c r="P147" i="25" s="1"/>
  <c r="M148" i="25"/>
  <c r="P148" i="25" s="1"/>
  <c r="M149" i="25"/>
  <c r="P149" i="25" s="1"/>
  <c r="M150" i="25"/>
  <c r="P150" i="25" s="1"/>
  <c r="M151" i="25"/>
  <c r="P151" i="25" s="1"/>
  <c r="M152" i="25"/>
  <c r="P152" i="25" s="1"/>
  <c r="M153" i="25"/>
  <c r="P153" i="25" s="1"/>
  <c r="M154" i="25"/>
  <c r="P154" i="25" s="1"/>
  <c r="N99" i="22"/>
  <c r="L99" i="22"/>
  <c r="M99" i="22" s="1"/>
  <c r="N102" i="11"/>
  <c r="O102" i="11" s="1"/>
  <c r="L102" i="11"/>
  <c r="M102" i="11" s="1"/>
  <c r="N103" i="10"/>
  <c r="L103" i="10"/>
  <c r="M103" i="10" s="1"/>
  <c r="N102" i="9"/>
  <c r="O102" i="9" s="1"/>
  <c r="L102" i="9"/>
  <c r="M102" i="9" s="1"/>
  <c r="N101" i="8"/>
  <c r="L101" i="8"/>
  <c r="M101" i="8" s="1"/>
  <c r="N103" i="7"/>
  <c r="O103" i="7" s="1"/>
  <c r="L103" i="7"/>
  <c r="M103" i="7" s="1"/>
  <c r="N101" i="6"/>
  <c r="L101" i="6"/>
  <c r="M101" i="6" s="1"/>
  <c r="N100" i="5"/>
  <c r="O100" i="5" s="1"/>
  <c r="L100" i="5"/>
  <c r="N100" i="4"/>
  <c r="L100" i="4"/>
  <c r="P83" i="24"/>
  <c r="I11" i="24"/>
  <c r="K11" i="24"/>
  <c r="L17" i="24"/>
  <c r="N25" i="24"/>
  <c r="N26" i="24"/>
  <c r="N27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O106" i="24"/>
  <c r="O107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/>
  <c r="M132" i="24"/>
  <c r="O132" i="24"/>
  <c r="P132" i="24"/>
  <c r="M133" i="24"/>
  <c r="O133" i="24"/>
  <c r="P133" i="24"/>
  <c r="M134" i="24"/>
  <c r="O134" i="24"/>
  <c r="P134" i="24"/>
  <c r="M135" i="24"/>
  <c r="O135" i="24"/>
  <c r="P135" i="24"/>
  <c r="M136" i="24"/>
  <c r="O136" i="24"/>
  <c r="P136" i="24"/>
  <c r="M137" i="24"/>
  <c r="O137" i="24"/>
  <c r="P137" i="24"/>
  <c r="M138" i="24"/>
  <c r="O138" i="24"/>
  <c r="P138" i="24"/>
  <c r="M139" i="24"/>
  <c r="O139" i="24"/>
  <c r="P139" i="24"/>
  <c r="M140" i="24"/>
  <c r="O140" i="24"/>
  <c r="P140" i="24"/>
  <c r="M141" i="24"/>
  <c r="O141" i="24"/>
  <c r="P141" i="24"/>
  <c r="M142" i="24"/>
  <c r="O142" i="24"/>
  <c r="P142" i="24"/>
  <c r="M143" i="24"/>
  <c r="O143" i="24"/>
  <c r="P143" i="24"/>
  <c r="M144" i="24"/>
  <c r="O144" i="24"/>
  <c r="P144" i="24"/>
  <c r="M145" i="24"/>
  <c r="O145" i="24"/>
  <c r="P145" i="24"/>
  <c r="M146" i="24"/>
  <c r="O146" i="24"/>
  <c r="P146" i="24"/>
  <c r="J147" i="24"/>
  <c r="M147" i="24"/>
  <c r="O147" i="24"/>
  <c r="P147" i="24"/>
  <c r="J148" i="24"/>
  <c r="M148" i="24"/>
  <c r="O148" i="24"/>
  <c r="P148" i="24"/>
  <c r="J149" i="24"/>
  <c r="M149" i="24"/>
  <c r="O149" i="24"/>
  <c r="P149" i="24"/>
  <c r="J150" i="24"/>
  <c r="M150" i="24"/>
  <c r="O150" i="24"/>
  <c r="P150" i="24"/>
  <c r="J151" i="24"/>
  <c r="M151" i="24"/>
  <c r="O151" i="24"/>
  <c r="P151" i="24"/>
  <c r="J152" i="24"/>
  <c r="M152" i="24"/>
  <c r="O152" i="24"/>
  <c r="P152" i="24"/>
  <c r="J153" i="24"/>
  <c r="M153" i="24"/>
  <c r="O153" i="24"/>
  <c r="P153" i="24"/>
  <c r="J154" i="24"/>
  <c r="M154" i="24"/>
  <c r="O154" i="24"/>
  <c r="P154" i="24"/>
  <c r="N100" i="3"/>
  <c r="O100" i="3" s="1"/>
  <c r="L100" i="3"/>
  <c r="M18" i="3"/>
  <c r="N18" i="3" s="1"/>
  <c r="K21" i="10"/>
  <c r="L21" i="10" s="1"/>
  <c r="K18" i="3"/>
  <c r="K18" i="4"/>
  <c r="K18" i="5"/>
  <c r="L18" i="5" s="1"/>
  <c r="K19" i="6"/>
  <c r="L19" i="6" s="1"/>
  <c r="K21" i="7"/>
  <c r="L21" i="7" s="1"/>
  <c r="K19" i="8"/>
  <c r="L19" i="8" s="1"/>
  <c r="K20" i="9"/>
  <c r="L20" i="9" s="1"/>
  <c r="K20" i="11"/>
  <c r="L20" i="11" s="1"/>
  <c r="K17" i="22"/>
  <c r="L17" i="22" s="1"/>
  <c r="W28" i="17"/>
  <c r="B19" i="23"/>
  <c r="I17" i="23"/>
  <c r="P83" i="23"/>
  <c r="I11" i="23"/>
  <c r="K11" i="23"/>
  <c r="L17" i="23"/>
  <c r="B18" i="23"/>
  <c r="N26" i="23"/>
  <c r="N27" i="23"/>
  <c r="N28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M99" i="23"/>
  <c r="O107" i="23"/>
  <c r="O108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J131" i="23"/>
  <c r="M131" i="23"/>
  <c r="O131" i="23"/>
  <c r="P131" i="23"/>
  <c r="J132" i="23"/>
  <c r="M132" i="23"/>
  <c r="O132" i="23"/>
  <c r="P132" i="23"/>
  <c r="J133" i="23"/>
  <c r="M133" i="23"/>
  <c r="O133" i="23"/>
  <c r="P133" i="23"/>
  <c r="J134" i="23"/>
  <c r="M134" i="23"/>
  <c r="O134" i="23"/>
  <c r="P134" i="23"/>
  <c r="J135" i="23"/>
  <c r="M135" i="23"/>
  <c r="O135" i="23"/>
  <c r="P135" i="23"/>
  <c r="J136" i="23"/>
  <c r="M136" i="23"/>
  <c r="O136" i="23"/>
  <c r="P136" i="23"/>
  <c r="J137" i="23"/>
  <c r="M137" i="23"/>
  <c r="O137" i="23"/>
  <c r="P137" i="23"/>
  <c r="J138" i="23"/>
  <c r="M138" i="23"/>
  <c r="O138" i="23"/>
  <c r="P138" i="23"/>
  <c r="J139" i="23"/>
  <c r="M139" i="23"/>
  <c r="O139" i="23"/>
  <c r="P139" i="23"/>
  <c r="J140" i="23"/>
  <c r="M140" i="23"/>
  <c r="O140" i="23"/>
  <c r="P140" i="23"/>
  <c r="J141" i="23"/>
  <c r="M141" i="23"/>
  <c r="O141" i="23"/>
  <c r="P141" i="23"/>
  <c r="J142" i="23"/>
  <c r="M142" i="23"/>
  <c r="O142" i="23"/>
  <c r="P142" i="23"/>
  <c r="J143" i="23"/>
  <c r="M143" i="23"/>
  <c r="O143" i="23"/>
  <c r="P143" i="23"/>
  <c r="J144" i="23"/>
  <c r="M144" i="23"/>
  <c r="O144" i="23"/>
  <c r="P144" i="23"/>
  <c r="J145" i="23"/>
  <c r="M145" i="23"/>
  <c r="O145" i="23"/>
  <c r="P145" i="23"/>
  <c r="J146" i="23"/>
  <c r="M146" i="23"/>
  <c r="O146" i="23"/>
  <c r="P146" i="23"/>
  <c r="J147" i="23"/>
  <c r="M147" i="23"/>
  <c r="O147" i="23"/>
  <c r="P147" i="23"/>
  <c r="J148" i="23"/>
  <c r="M148" i="23"/>
  <c r="O148" i="23"/>
  <c r="P148" i="23"/>
  <c r="J149" i="23"/>
  <c r="M149" i="23"/>
  <c r="O149" i="23"/>
  <c r="P149" i="23"/>
  <c r="J150" i="23"/>
  <c r="M150" i="23"/>
  <c r="O150" i="23"/>
  <c r="P150" i="23"/>
  <c r="J151" i="23"/>
  <c r="M151" i="23"/>
  <c r="O151" i="23"/>
  <c r="P151" i="23"/>
  <c r="J152" i="23"/>
  <c r="M152" i="23"/>
  <c r="O152" i="23"/>
  <c r="P152" i="23"/>
  <c r="J153" i="23"/>
  <c r="M153" i="23"/>
  <c r="O153" i="23"/>
  <c r="P153" i="23"/>
  <c r="J154" i="23"/>
  <c r="M154" i="23"/>
  <c r="O154" i="23"/>
  <c r="P154" i="23"/>
  <c r="M17" i="22"/>
  <c r="N17" i="22" s="1"/>
  <c r="N101" i="11"/>
  <c r="O101" i="11" s="1"/>
  <c r="L101" i="11"/>
  <c r="M101" i="11" s="1"/>
  <c r="M20" i="11"/>
  <c r="N20" i="11" s="1"/>
  <c r="M21" i="10"/>
  <c r="N21" i="10"/>
  <c r="N102" i="10"/>
  <c r="O102" i="10" s="1"/>
  <c r="L102" i="10"/>
  <c r="M102" i="10" s="1"/>
  <c r="M20" i="9"/>
  <c r="N20" i="9" s="1"/>
  <c r="N101" i="9"/>
  <c r="O101" i="9" s="1"/>
  <c r="L101" i="9"/>
  <c r="N100" i="8"/>
  <c r="O100" i="8" s="1"/>
  <c r="L100" i="8"/>
  <c r="M100" i="8" s="1"/>
  <c r="M19" i="8"/>
  <c r="N19" i="8" s="1"/>
  <c r="N102" i="7"/>
  <c r="O102" i="7" s="1"/>
  <c r="P102" i="7" s="1"/>
  <c r="L102" i="7"/>
  <c r="M102" i="7" s="1"/>
  <c r="M21" i="7"/>
  <c r="N21" i="7" s="1"/>
  <c r="N100" i="6"/>
  <c r="O100" i="6" s="1"/>
  <c r="L100" i="6"/>
  <c r="M19" i="6"/>
  <c r="N99" i="5"/>
  <c r="L99" i="5"/>
  <c r="M99" i="5" s="1"/>
  <c r="M18" i="5"/>
  <c r="N99" i="4"/>
  <c r="L99" i="4"/>
  <c r="M99" i="4" s="1"/>
  <c r="M18" i="4"/>
  <c r="N18" i="4" s="1"/>
  <c r="N99" i="3"/>
  <c r="L99" i="3"/>
  <c r="L18" i="7"/>
  <c r="B100" i="7"/>
  <c r="B102" i="8"/>
  <c r="B101" i="8"/>
  <c r="B100" i="8"/>
  <c r="B103" i="9"/>
  <c r="B102" i="9"/>
  <c r="B101" i="9"/>
  <c r="B100" i="9"/>
  <c r="B104" i="10"/>
  <c r="B103" i="10"/>
  <c r="B102" i="10"/>
  <c r="B101" i="10"/>
  <c r="B100" i="10"/>
  <c r="B103" i="11"/>
  <c r="B102" i="11"/>
  <c r="B101" i="11"/>
  <c r="B100" i="11"/>
  <c r="B100" i="22"/>
  <c r="B104" i="7"/>
  <c r="B103" i="7"/>
  <c r="B20" i="8"/>
  <c r="B19" i="8"/>
  <c r="B18" i="8"/>
  <c r="B22" i="9"/>
  <c r="B21" i="9"/>
  <c r="B20" i="9"/>
  <c r="B19" i="9"/>
  <c r="B18" i="9"/>
  <c r="B23" i="10"/>
  <c r="B22" i="10"/>
  <c r="B21" i="10"/>
  <c r="B20" i="10"/>
  <c r="B19" i="10"/>
  <c r="B18" i="10"/>
  <c r="B22" i="11"/>
  <c r="B21" i="11"/>
  <c r="B20" i="11"/>
  <c r="B19" i="11"/>
  <c r="B18" i="11"/>
  <c r="B18" i="22"/>
  <c r="B22" i="7"/>
  <c r="B101" i="4"/>
  <c r="B100" i="4"/>
  <c r="B101" i="5"/>
  <c r="B100" i="5"/>
  <c r="B101" i="3"/>
  <c r="B100" i="3"/>
  <c r="B20" i="4"/>
  <c r="B19" i="4"/>
  <c r="B18" i="4"/>
  <c r="B20" i="5"/>
  <c r="B19" i="5"/>
  <c r="B18" i="5"/>
  <c r="B19" i="3"/>
  <c r="B18" i="3"/>
  <c r="B18" i="6"/>
  <c r="B20" i="6"/>
  <c r="B19" i="6"/>
  <c r="B102" i="6"/>
  <c r="B101" i="6"/>
  <c r="B100" i="6"/>
  <c r="I18" i="3"/>
  <c r="I19" i="3"/>
  <c r="D90" i="4"/>
  <c r="D90" i="5"/>
  <c r="D90" i="6"/>
  <c r="D90" i="7"/>
  <c r="D90" i="8"/>
  <c r="D8" i="9"/>
  <c r="D90" i="9" s="1"/>
  <c r="D90" i="13"/>
  <c r="W27" i="17"/>
  <c r="N99" i="6"/>
  <c r="O99" i="6" s="1"/>
  <c r="P83" i="22"/>
  <c r="I11" i="22"/>
  <c r="K11" i="22"/>
  <c r="I17" i="22"/>
  <c r="I18" i="22"/>
  <c r="N27" i="22"/>
  <c r="N28" i="22"/>
  <c r="N29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O99" i="22"/>
  <c r="O108" i="22"/>
  <c r="O109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J131" i="22"/>
  <c r="M131" i="22"/>
  <c r="O131" i="22"/>
  <c r="P131" i="22"/>
  <c r="J132" i="22"/>
  <c r="M132" i="22"/>
  <c r="O132" i="22"/>
  <c r="P132" i="22"/>
  <c r="J133" i="22"/>
  <c r="M133" i="22"/>
  <c r="O133" i="22"/>
  <c r="P133" i="22"/>
  <c r="J134" i="22"/>
  <c r="M134" i="22"/>
  <c r="O134" i="22"/>
  <c r="P134" i="22"/>
  <c r="J135" i="22"/>
  <c r="M135" i="22"/>
  <c r="O135" i="22"/>
  <c r="P135" i="22"/>
  <c r="J136" i="22"/>
  <c r="M136" i="22"/>
  <c r="O136" i="22"/>
  <c r="P136" i="22"/>
  <c r="J137" i="22"/>
  <c r="M137" i="22"/>
  <c r="O137" i="22"/>
  <c r="P137" i="22"/>
  <c r="J138" i="22"/>
  <c r="M138" i="22"/>
  <c r="O138" i="22"/>
  <c r="P138" i="22"/>
  <c r="J139" i="22"/>
  <c r="M139" i="22"/>
  <c r="O139" i="22"/>
  <c r="P139" i="22"/>
  <c r="J140" i="22"/>
  <c r="M140" i="22"/>
  <c r="O140" i="22"/>
  <c r="P140" i="22"/>
  <c r="J141" i="22"/>
  <c r="M141" i="22"/>
  <c r="O141" i="22"/>
  <c r="P141" i="22"/>
  <c r="J142" i="22"/>
  <c r="M142" i="22"/>
  <c r="O142" i="22"/>
  <c r="P142" i="22"/>
  <c r="J143" i="22"/>
  <c r="M143" i="22"/>
  <c r="O143" i="22"/>
  <c r="P143" i="22"/>
  <c r="J144" i="22"/>
  <c r="M144" i="22"/>
  <c r="O144" i="22"/>
  <c r="P144" i="22"/>
  <c r="J145" i="22"/>
  <c r="M145" i="22"/>
  <c r="O145" i="22"/>
  <c r="P145" i="22"/>
  <c r="J146" i="22"/>
  <c r="M146" i="22"/>
  <c r="O146" i="22"/>
  <c r="P146" i="22"/>
  <c r="J147" i="22"/>
  <c r="M147" i="22"/>
  <c r="O147" i="22"/>
  <c r="P147" i="22"/>
  <c r="J148" i="22"/>
  <c r="M148" i="22"/>
  <c r="O148" i="22"/>
  <c r="P148" i="22"/>
  <c r="J149" i="22"/>
  <c r="M149" i="22"/>
  <c r="O149" i="22"/>
  <c r="P149" i="22"/>
  <c r="J150" i="22"/>
  <c r="M150" i="22"/>
  <c r="O150" i="22"/>
  <c r="P150" i="22"/>
  <c r="J151" i="22"/>
  <c r="M151" i="22"/>
  <c r="O151" i="22"/>
  <c r="P151" i="22"/>
  <c r="J152" i="22"/>
  <c r="M152" i="22"/>
  <c r="O152" i="22"/>
  <c r="P152" i="22"/>
  <c r="J153" i="22"/>
  <c r="M153" i="22"/>
  <c r="O153" i="22"/>
  <c r="P153" i="22"/>
  <c r="J154" i="22"/>
  <c r="M154" i="22"/>
  <c r="O154" i="22"/>
  <c r="P154" i="22"/>
  <c r="P83" i="8"/>
  <c r="P83" i="11"/>
  <c r="P12" i="17"/>
  <c r="L12" i="17"/>
  <c r="W26" i="17"/>
  <c r="W25" i="17"/>
  <c r="W24" i="17"/>
  <c r="W23" i="17"/>
  <c r="W22" i="17"/>
  <c r="W21" i="17"/>
  <c r="W20" i="17"/>
  <c r="W19" i="17"/>
  <c r="W18" i="17"/>
  <c r="G12" i="17"/>
  <c r="H3" i="3"/>
  <c r="H3" i="4"/>
  <c r="H3" i="5"/>
  <c r="H3" i="6"/>
  <c r="M101" i="7"/>
  <c r="C12" i="2"/>
  <c r="P83" i="13"/>
  <c r="P83" i="4"/>
  <c r="P83" i="5"/>
  <c r="P83" i="6"/>
  <c r="P83" i="7"/>
  <c r="P83" i="9"/>
  <c r="P83" i="10"/>
  <c r="P83" i="3"/>
  <c r="O3" i="3"/>
  <c r="A5" i="2"/>
  <c r="A1" i="2"/>
  <c r="F13" i="2"/>
  <c r="C79" i="2" s="1"/>
  <c r="C89" i="2"/>
  <c r="I11" i="13"/>
  <c r="K11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I11" i="11"/>
  <c r="K11" i="11"/>
  <c r="I17" i="11"/>
  <c r="L17" i="11"/>
  <c r="N17" i="11"/>
  <c r="I18" i="11"/>
  <c r="L18" i="11"/>
  <c r="N18" i="11"/>
  <c r="I19" i="11"/>
  <c r="L19" i="11"/>
  <c r="N19" i="11"/>
  <c r="I20" i="11"/>
  <c r="I21" i="11"/>
  <c r="N30" i="11"/>
  <c r="N31" i="11"/>
  <c r="N32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4" i="11"/>
  <c r="N44" i="11"/>
  <c r="L45" i="11"/>
  <c r="N45" i="11"/>
  <c r="L46" i="11"/>
  <c r="N46" i="11"/>
  <c r="L47" i="11"/>
  <c r="N47" i="11"/>
  <c r="L48" i="11"/>
  <c r="N48" i="11"/>
  <c r="L49" i="11"/>
  <c r="N49" i="11"/>
  <c r="L50" i="11"/>
  <c r="N50" i="11"/>
  <c r="L51" i="11"/>
  <c r="N51" i="11"/>
  <c r="L52" i="11"/>
  <c r="N52" i="11"/>
  <c r="L53" i="11"/>
  <c r="N53" i="11"/>
  <c r="L54" i="11"/>
  <c r="N54" i="11"/>
  <c r="L55" i="11"/>
  <c r="N55" i="11"/>
  <c r="L56" i="11"/>
  <c r="N56" i="11"/>
  <c r="L57" i="11"/>
  <c r="N57" i="11"/>
  <c r="L58" i="11"/>
  <c r="N58" i="11"/>
  <c r="L59" i="11"/>
  <c r="N59" i="11"/>
  <c r="L60" i="11"/>
  <c r="N60" i="11"/>
  <c r="L61" i="11"/>
  <c r="N61" i="11"/>
  <c r="L62" i="11"/>
  <c r="N62" i="11"/>
  <c r="L63" i="11"/>
  <c r="N63" i="11"/>
  <c r="L64" i="11"/>
  <c r="N64" i="11"/>
  <c r="L65" i="11"/>
  <c r="N65" i="11"/>
  <c r="L66" i="11"/>
  <c r="N66" i="11"/>
  <c r="L67" i="11"/>
  <c r="N67" i="11"/>
  <c r="L68" i="11"/>
  <c r="N68" i="11"/>
  <c r="L69" i="11"/>
  <c r="N69" i="11"/>
  <c r="L70" i="11"/>
  <c r="N70" i="11"/>
  <c r="L71" i="11"/>
  <c r="N71" i="11"/>
  <c r="L72" i="11"/>
  <c r="N72" i="11"/>
  <c r="D89" i="11"/>
  <c r="D91" i="11"/>
  <c r="J93" i="11"/>
  <c r="L93" i="11"/>
  <c r="D96" i="11"/>
  <c r="J99" i="11"/>
  <c r="M99" i="11"/>
  <c r="O99" i="11"/>
  <c r="P99" i="11" s="1"/>
  <c r="J100" i="11"/>
  <c r="M100" i="11"/>
  <c r="O100" i="11"/>
  <c r="P100" i="11" s="1"/>
  <c r="J101" i="11"/>
  <c r="J102" i="11"/>
  <c r="O103" i="11"/>
  <c r="O111" i="11"/>
  <c r="O112" i="11"/>
  <c r="M117" i="11"/>
  <c r="O117" i="11"/>
  <c r="M118" i="11"/>
  <c r="O118" i="11"/>
  <c r="M119" i="11"/>
  <c r="O119" i="11"/>
  <c r="M120" i="11"/>
  <c r="O120" i="11"/>
  <c r="M121" i="11"/>
  <c r="O121" i="11"/>
  <c r="M122" i="11"/>
  <c r="O122" i="11"/>
  <c r="M123" i="11"/>
  <c r="O123" i="11"/>
  <c r="M124" i="11"/>
  <c r="O124" i="11"/>
  <c r="M125" i="11"/>
  <c r="O125" i="11"/>
  <c r="M126" i="11"/>
  <c r="O126" i="11"/>
  <c r="M127" i="11"/>
  <c r="O127" i="11"/>
  <c r="M128" i="11"/>
  <c r="O128" i="11"/>
  <c r="M129" i="11"/>
  <c r="O129" i="11"/>
  <c r="M130" i="11"/>
  <c r="O130" i="11"/>
  <c r="J131" i="11"/>
  <c r="M131" i="11"/>
  <c r="O131" i="11"/>
  <c r="P131" i="11"/>
  <c r="J132" i="11"/>
  <c r="M132" i="11"/>
  <c r="O132" i="11"/>
  <c r="P132" i="11"/>
  <c r="J133" i="11"/>
  <c r="M133" i="11"/>
  <c r="O133" i="11"/>
  <c r="P133" i="11"/>
  <c r="J134" i="11"/>
  <c r="M134" i="11"/>
  <c r="O134" i="11"/>
  <c r="P134" i="11"/>
  <c r="J135" i="11"/>
  <c r="M135" i="11"/>
  <c r="O135" i="11"/>
  <c r="P135" i="11"/>
  <c r="J136" i="11"/>
  <c r="M136" i="11"/>
  <c r="O136" i="11"/>
  <c r="P136" i="11"/>
  <c r="J137" i="11"/>
  <c r="M137" i="11"/>
  <c r="O137" i="11"/>
  <c r="P137" i="11"/>
  <c r="J138" i="11"/>
  <c r="M138" i="11"/>
  <c r="O138" i="11"/>
  <c r="P138" i="11"/>
  <c r="J139" i="11"/>
  <c r="M139" i="11"/>
  <c r="O139" i="11"/>
  <c r="P139" i="11"/>
  <c r="J140" i="11"/>
  <c r="M140" i="11"/>
  <c r="O140" i="11"/>
  <c r="P140" i="11"/>
  <c r="J141" i="11"/>
  <c r="M141" i="11"/>
  <c r="O141" i="11"/>
  <c r="P141" i="11"/>
  <c r="J142" i="11"/>
  <c r="M142" i="11"/>
  <c r="O142" i="11"/>
  <c r="P142" i="11"/>
  <c r="J143" i="11"/>
  <c r="M143" i="11"/>
  <c r="O143" i="11"/>
  <c r="P143" i="11"/>
  <c r="J144" i="11"/>
  <c r="M144" i="11"/>
  <c r="O144" i="11"/>
  <c r="P144" i="11"/>
  <c r="J145" i="11"/>
  <c r="M145" i="11"/>
  <c r="O145" i="11"/>
  <c r="P145" i="11"/>
  <c r="J146" i="11"/>
  <c r="M146" i="11"/>
  <c r="O146" i="11"/>
  <c r="P146" i="11"/>
  <c r="J147" i="11"/>
  <c r="M147" i="11"/>
  <c r="O147" i="11"/>
  <c r="P147" i="11"/>
  <c r="J148" i="11"/>
  <c r="M148" i="11"/>
  <c r="O148" i="11"/>
  <c r="P148" i="11"/>
  <c r="J149" i="11"/>
  <c r="M149" i="11"/>
  <c r="O149" i="11"/>
  <c r="P149" i="11"/>
  <c r="J150" i="11"/>
  <c r="M150" i="11"/>
  <c r="O150" i="11"/>
  <c r="P150" i="11"/>
  <c r="J151" i="11"/>
  <c r="M151" i="11"/>
  <c r="O151" i="11"/>
  <c r="P151" i="11"/>
  <c r="J152" i="11"/>
  <c r="M152" i="11"/>
  <c r="O152" i="11"/>
  <c r="P152" i="11"/>
  <c r="J153" i="11"/>
  <c r="M153" i="11"/>
  <c r="O153" i="11"/>
  <c r="P153" i="11"/>
  <c r="J154" i="11"/>
  <c r="M154" i="11"/>
  <c r="O154" i="11"/>
  <c r="P154" i="11"/>
  <c r="I11" i="10"/>
  <c r="K11" i="10"/>
  <c r="I17" i="10"/>
  <c r="L17" i="10"/>
  <c r="N17" i="10"/>
  <c r="I18" i="10"/>
  <c r="L18" i="10"/>
  <c r="N18" i="10"/>
  <c r="I19" i="10"/>
  <c r="L19" i="10"/>
  <c r="N19" i="10"/>
  <c r="I20" i="10"/>
  <c r="L20" i="10"/>
  <c r="N20" i="10"/>
  <c r="I21" i="10"/>
  <c r="I22" i="10"/>
  <c r="L23" i="10"/>
  <c r="N31" i="10"/>
  <c r="N32" i="10"/>
  <c r="N33" i="10"/>
  <c r="L37" i="10"/>
  <c r="N37" i="10"/>
  <c r="L38" i="10"/>
  <c r="N38" i="10"/>
  <c r="L39" i="10"/>
  <c r="N39" i="10"/>
  <c r="L40" i="10"/>
  <c r="N40" i="10"/>
  <c r="L41" i="10"/>
  <c r="N41" i="10"/>
  <c r="L42" i="10"/>
  <c r="N42" i="10"/>
  <c r="L43" i="10"/>
  <c r="N43" i="10"/>
  <c r="L44" i="10"/>
  <c r="N44" i="10"/>
  <c r="L45" i="10"/>
  <c r="N45" i="10"/>
  <c r="L46" i="10"/>
  <c r="N46" i="10"/>
  <c r="L47" i="10"/>
  <c r="N47" i="10"/>
  <c r="L48" i="10"/>
  <c r="N48" i="10"/>
  <c r="L49" i="10"/>
  <c r="N49" i="10"/>
  <c r="L50" i="10"/>
  <c r="N50" i="10"/>
  <c r="L51" i="10"/>
  <c r="N51" i="10"/>
  <c r="L52" i="10"/>
  <c r="N52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65" i="10"/>
  <c r="N65" i="10"/>
  <c r="L66" i="10"/>
  <c r="N66" i="10"/>
  <c r="L67" i="10"/>
  <c r="N67" i="10"/>
  <c r="L68" i="10"/>
  <c r="N68" i="10"/>
  <c r="L69" i="10"/>
  <c r="N69" i="10"/>
  <c r="L70" i="10"/>
  <c r="N70" i="10"/>
  <c r="L71" i="10"/>
  <c r="N71" i="10"/>
  <c r="L72" i="10"/>
  <c r="N72" i="10"/>
  <c r="D89" i="10"/>
  <c r="D91" i="10"/>
  <c r="J93" i="10"/>
  <c r="L93" i="10"/>
  <c r="D96" i="10"/>
  <c r="J99" i="10"/>
  <c r="M99" i="10"/>
  <c r="O99" i="10"/>
  <c r="J100" i="10"/>
  <c r="M100" i="10"/>
  <c r="O100" i="10"/>
  <c r="J101" i="10"/>
  <c r="M101" i="10"/>
  <c r="O101" i="10"/>
  <c r="J102" i="10"/>
  <c r="J103" i="10"/>
  <c r="O103" i="10"/>
  <c r="O104" i="10"/>
  <c r="O112" i="10"/>
  <c r="O113" i="10"/>
  <c r="M118" i="10"/>
  <c r="O118" i="10"/>
  <c r="M119" i="10"/>
  <c r="O119" i="10"/>
  <c r="M120" i="10"/>
  <c r="O120" i="10"/>
  <c r="M121" i="10"/>
  <c r="O121" i="10"/>
  <c r="M122" i="10"/>
  <c r="O122" i="10"/>
  <c r="M123" i="10"/>
  <c r="O123" i="10"/>
  <c r="M124" i="10"/>
  <c r="O124" i="10"/>
  <c r="M125" i="10"/>
  <c r="O125" i="10"/>
  <c r="M126" i="10"/>
  <c r="O126" i="10"/>
  <c r="M127" i="10"/>
  <c r="O127" i="10"/>
  <c r="M128" i="10"/>
  <c r="O128" i="10"/>
  <c r="M129" i="10"/>
  <c r="O129" i="10"/>
  <c r="M130" i="10"/>
  <c r="O130" i="10"/>
  <c r="M131" i="10"/>
  <c r="O131" i="10"/>
  <c r="M132" i="10"/>
  <c r="O132" i="10"/>
  <c r="M133" i="10"/>
  <c r="O133" i="10"/>
  <c r="M134" i="10"/>
  <c r="O134" i="10"/>
  <c r="M135" i="10"/>
  <c r="O135" i="10"/>
  <c r="M136" i="10"/>
  <c r="O136" i="10"/>
  <c r="M137" i="10"/>
  <c r="O137" i="10"/>
  <c r="M138" i="10"/>
  <c r="O138" i="10"/>
  <c r="M139" i="10"/>
  <c r="O139" i="10"/>
  <c r="M140" i="10"/>
  <c r="O140" i="10"/>
  <c r="M141" i="10"/>
  <c r="O141" i="10"/>
  <c r="M142" i="10"/>
  <c r="O142" i="10"/>
  <c r="M143" i="10"/>
  <c r="O143" i="10"/>
  <c r="M144" i="10"/>
  <c r="O144" i="10"/>
  <c r="M145" i="10"/>
  <c r="O145" i="10"/>
  <c r="M146" i="10"/>
  <c r="O146" i="10"/>
  <c r="M147" i="10"/>
  <c r="O147" i="10"/>
  <c r="M148" i="10"/>
  <c r="O148" i="10"/>
  <c r="M149" i="10"/>
  <c r="O149" i="10"/>
  <c r="M150" i="10"/>
  <c r="O150" i="10"/>
  <c r="M151" i="10"/>
  <c r="O151" i="10"/>
  <c r="M152" i="10"/>
  <c r="O152" i="10"/>
  <c r="M153" i="10"/>
  <c r="O153" i="10"/>
  <c r="M154" i="10"/>
  <c r="O154" i="10"/>
  <c r="I11" i="9"/>
  <c r="K11" i="9"/>
  <c r="I17" i="9"/>
  <c r="L17" i="9"/>
  <c r="N17" i="9"/>
  <c r="I18" i="9"/>
  <c r="L18" i="9"/>
  <c r="N18" i="9"/>
  <c r="I19" i="9"/>
  <c r="L19" i="9"/>
  <c r="N19" i="9"/>
  <c r="I21" i="9"/>
  <c r="N30" i="9"/>
  <c r="N31" i="9"/>
  <c r="N32" i="9"/>
  <c r="L36" i="9"/>
  <c r="N36" i="9"/>
  <c r="L37" i="9"/>
  <c r="N37" i="9"/>
  <c r="L38" i="9"/>
  <c r="N38" i="9"/>
  <c r="L39" i="9"/>
  <c r="N39" i="9"/>
  <c r="L40" i="9"/>
  <c r="N40" i="9"/>
  <c r="L41" i="9"/>
  <c r="N41" i="9"/>
  <c r="L42" i="9"/>
  <c r="N42" i="9"/>
  <c r="L43" i="9"/>
  <c r="N43" i="9"/>
  <c r="L44" i="9"/>
  <c r="N44" i="9"/>
  <c r="L45" i="9"/>
  <c r="N45" i="9"/>
  <c r="L46" i="9"/>
  <c r="N46" i="9"/>
  <c r="L47" i="9"/>
  <c r="N47" i="9"/>
  <c r="L48" i="9"/>
  <c r="N48" i="9"/>
  <c r="L49" i="9"/>
  <c r="N49" i="9"/>
  <c r="L50" i="9"/>
  <c r="N50" i="9"/>
  <c r="L51" i="9"/>
  <c r="N51" i="9"/>
  <c r="L52" i="9"/>
  <c r="N52" i="9"/>
  <c r="L53" i="9"/>
  <c r="N53" i="9"/>
  <c r="L54" i="9"/>
  <c r="N54" i="9"/>
  <c r="L55" i="9"/>
  <c r="N55" i="9"/>
  <c r="L56" i="9"/>
  <c r="N56" i="9"/>
  <c r="L57" i="9"/>
  <c r="N57" i="9"/>
  <c r="L58" i="9"/>
  <c r="N58" i="9"/>
  <c r="L59" i="9"/>
  <c r="N59" i="9"/>
  <c r="L60" i="9"/>
  <c r="N60" i="9"/>
  <c r="L61" i="9"/>
  <c r="N61" i="9"/>
  <c r="L62" i="9"/>
  <c r="N62" i="9"/>
  <c r="L63" i="9"/>
  <c r="N63" i="9"/>
  <c r="L64" i="9"/>
  <c r="N64" i="9"/>
  <c r="L65" i="9"/>
  <c r="N65" i="9"/>
  <c r="L66" i="9"/>
  <c r="N66" i="9"/>
  <c r="L67" i="9"/>
  <c r="N67" i="9"/>
  <c r="L68" i="9"/>
  <c r="N68" i="9"/>
  <c r="L69" i="9"/>
  <c r="N69" i="9"/>
  <c r="L70" i="9"/>
  <c r="N70" i="9"/>
  <c r="L71" i="9"/>
  <c r="N71" i="9"/>
  <c r="L72" i="9"/>
  <c r="N72" i="9"/>
  <c r="D89" i="9"/>
  <c r="D91" i="9"/>
  <c r="J93" i="9"/>
  <c r="L93" i="9"/>
  <c r="D96" i="9"/>
  <c r="J99" i="9"/>
  <c r="M99" i="9"/>
  <c r="O99" i="9"/>
  <c r="J100" i="9"/>
  <c r="M100" i="9"/>
  <c r="O100" i="9"/>
  <c r="J101" i="9"/>
  <c r="M101" i="9"/>
  <c r="J102" i="9"/>
  <c r="M103" i="9"/>
  <c r="O103" i="9"/>
  <c r="O111" i="9"/>
  <c r="O112" i="9"/>
  <c r="M117" i="9"/>
  <c r="O117" i="9"/>
  <c r="M118" i="9"/>
  <c r="O118" i="9"/>
  <c r="M119" i="9"/>
  <c r="O119" i="9"/>
  <c r="M120" i="9"/>
  <c r="O120" i="9"/>
  <c r="M121" i="9"/>
  <c r="O121" i="9"/>
  <c r="M122" i="9"/>
  <c r="O122" i="9"/>
  <c r="M123" i="9"/>
  <c r="O123" i="9"/>
  <c r="M124" i="9"/>
  <c r="O124" i="9"/>
  <c r="M125" i="9"/>
  <c r="O125" i="9"/>
  <c r="M126" i="9"/>
  <c r="O126" i="9"/>
  <c r="M127" i="9"/>
  <c r="O127" i="9"/>
  <c r="M128" i="9"/>
  <c r="O128" i="9"/>
  <c r="M129" i="9"/>
  <c r="O129" i="9"/>
  <c r="M130" i="9"/>
  <c r="O130" i="9"/>
  <c r="J131" i="9"/>
  <c r="M131" i="9"/>
  <c r="O131" i="9"/>
  <c r="P131" i="9"/>
  <c r="J132" i="9"/>
  <c r="M132" i="9"/>
  <c r="O132" i="9"/>
  <c r="P132" i="9"/>
  <c r="J133" i="9"/>
  <c r="M133" i="9"/>
  <c r="O133" i="9"/>
  <c r="P133" i="9"/>
  <c r="J134" i="9"/>
  <c r="M134" i="9"/>
  <c r="O134" i="9"/>
  <c r="P134" i="9"/>
  <c r="J135" i="9"/>
  <c r="M135" i="9"/>
  <c r="O135" i="9"/>
  <c r="P135" i="9"/>
  <c r="J136" i="9"/>
  <c r="M136" i="9"/>
  <c r="O136" i="9"/>
  <c r="P136" i="9"/>
  <c r="J137" i="9"/>
  <c r="M137" i="9"/>
  <c r="O137" i="9"/>
  <c r="P137" i="9"/>
  <c r="J138" i="9"/>
  <c r="M138" i="9"/>
  <c r="O138" i="9"/>
  <c r="P138" i="9"/>
  <c r="J139" i="9"/>
  <c r="M139" i="9"/>
  <c r="O139" i="9"/>
  <c r="P139" i="9"/>
  <c r="J140" i="9"/>
  <c r="M140" i="9"/>
  <c r="O140" i="9"/>
  <c r="P140" i="9"/>
  <c r="J141" i="9"/>
  <c r="M141" i="9"/>
  <c r="O141" i="9"/>
  <c r="P141" i="9"/>
  <c r="J142" i="9"/>
  <c r="M142" i="9"/>
  <c r="O142" i="9"/>
  <c r="P142" i="9"/>
  <c r="J143" i="9"/>
  <c r="M143" i="9"/>
  <c r="O143" i="9"/>
  <c r="P143" i="9"/>
  <c r="J144" i="9"/>
  <c r="M144" i="9"/>
  <c r="O144" i="9"/>
  <c r="P144" i="9"/>
  <c r="J145" i="9"/>
  <c r="M145" i="9"/>
  <c r="O145" i="9"/>
  <c r="P145" i="9"/>
  <c r="J146" i="9"/>
  <c r="M146" i="9"/>
  <c r="O146" i="9"/>
  <c r="P146" i="9"/>
  <c r="J147" i="9"/>
  <c r="M147" i="9"/>
  <c r="O147" i="9"/>
  <c r="P147" i="9"/>
  <c r="J148" i="9"/>
  <c r="M148" i="9"/>
  <c r="O148" i="9"/>
  <c r="P148" i="9"/>
  <c r="J149" i="9"/>
  <c r="M149" i="9"/>
  <c r="O149" i="9"/>
  <c r="P149" i="9"/>
  <c r="J150" i="9"/>
  <c r="M150" i="9"/>
  <c r="O150" i="9"/>
  <c r="P150" i="9"/>
  <c r="J151" i="9"/>
  <c r="M151" i="9"/>
  <c r="O151" i="9"/>
  <c r="P151" i="9"/>
  <c r="J152" i="9"/>
  <c r="M152" i="9"/>
  <c r="O152" i="9"/>
  <c r="P152" i="9"/>
  <c r="J153" i="9"/>
  <c r="M153" i="9"/>
  <c r="O153" i="9"/>
  <c r="P153" i="9"/>
  <c r="J154" i="9"/>
  <c r="M154" i="9"/>
  <c r="O154" i="9"/>
  <c r="P154" i="9"/>
  <c r="I11" i="8"/>
  <c r="K11" i="8"/>
  <c r="I17" i="8"/>
  <c r="L17" i="8"/>
  <c r="N17" i="8"/>
  <c r="I18" i="8"/>
  <c r="L18" i="8"/>
  <c r="N18" i="8"/>
  <c r="I19" i="8"/>
  <c r="I20" i="8"/>
  <c r="L20" i="8"/>
  <c r="L21" i="8"/>
  <c r="N29" i="8"/>
  <c r="N30" i="8"/>
  <c r="N31" i="8"/>
  <c r="L35" i="8"/>
  <c r="N35" i="8"/>
  <c r="L36" i="8"/>
  <c r="N36" i="8"/>
  <c r="L37" i="8"/>
  <c r="N37" i="8"/>
  <c r="L38" i="8"/>
  <c r="N38" i="8"/>
  <c r="L39" i="8"/>
  <c r="N39" i="8"/>
  <c r="L40" i="8"/>
  <c r="N40" i="8"/>
  <c r="L41" i="8"/>
  <c r="N41" i="8"/>
  <c r="L42" i="8"/>
  <c r="N42" i="8"/>
  <c r="L43" i="8"/>
  <c r="N43" i="8"/>
  <c r="L44" i="8"/>
  <c r="N44" i="8"/>
  <c r="L45" i="8"/>
  <c r="N45" i="8"/>
  <c r="L46" i="8"/>
  <c r="N46" i="8"/>
  <c r="L47" i="8"/>
  <c r="N47" i="8"/>
  <c r="L48" i="8"/>
  <c r="N48" i="8"/>
  <c r="L49" i="8"/>
  <c r="N49" i="8"/>
  <c r="L50" i="8"/>
  <c r="N50" i="8"/>
  <c r="L51" i="8"/>
  <c r="N51" i="8"/>
  <c r="L52" i="8"/>
  <c r="N52" i="8"/>
  <c r="L53" i="8"/>
  <c r="N53" i="8"/>
  <c r="L54" i="8"/>
  <c r="N54" i="8"/>
  <c r="L55" i="8"/>
  <c r="N55" i="8"/>
  <c r="L56" i="8"/>
  <c r="N56" i="8"/>
  <c r="L57" i="8"/>
  <c r="N57" i="8"/>
  <c r="L58" i="8"/>
  <c r="N58" i="8"/>
  <c r="L59" i="8"/>
  <c r="N59" i="8"/>
  <c r="L60" i="8"/>
  <c r="N60" i="8"/>
  <c r="L61" i="8"/>
  <c r="N61" i="8"/>
  <c r="L62" i="8"/>
  <c r="N62" i="8"/>
  <c r="L63" i="8"/>
  <c r="N63" i="8"/>
  <c r="L64" i="8"/>
  <c r="N64" i="8"/>
  <c r="L65" i="8"/>
  <c r="N65" i="8"/>
  <c r="L66" i="8"/>
  <c r="N66" i="8"/>
  <c r="L67" i="8"/>
  <c r="N67" i="8"/>
  <c r="L68" i="8"/>
  <c r="N68" i="8"/>
  <c r="L69" i="8"/>
  <c r="N69" i="8"/>
  <c r="L70" i="8"/>
  <c r="N70" i="8"/>
  <c r="L71" i="8"/>
  <c r="N71" i="8"/>
  <c r="L72" i="8"/>
  <c r="N72" i="8"/>
  <c r="D89" i="8"/>
  <c r="D91" i="8"/>
  <c r="J93" i="8"/>
  <c r="L93" i="8"/>
  <c r="D96" i="8"/>
  <c r="J99" i="8"/>
  <c r="M99" i="8"/>
  <c r="O99" i="8"/>
  <c r="J100" i="8"/>
  <c r="J101" i="8"/>
  <c r="O101" i="8"/>
  <c r="P101" i="8" s="1"/>
  <c r="O110" i="8"/>
  <c r="O111" i="8"/>
  <c r="M116" i="8"/>
  <c r="O116" i="8"/>
  <c r="M117" i="8"/>
  <c r="O117" i="8"/>
  <c r="M118" i="8"/>
  <c r="O118" i="8"/>
  <c r="M119" i="8"/>
  <c r="O119" i="8"/>
  <c r="M120" i="8"/>
  <c r="O120" i="8"/>
  <c r="M121" i="8"/>
  <c r="O121" i="8"/>
  <c r="M122" i="8"/>
  <c r="O122" i="8"/>
  <c r="M123" i="8"/>
  <c r="O123" i="8"/>
  <c r="M124" i="8"/>
  <c r="O124" i="8"/>
  <c r="M125" i="8"/>
  <c r="O125" i="8"/>
  <c r="M126" i="8"/>
  <c r="O126" i="8"/>
  <c r="M127" i="8"/>
  <c r="O127" i="8"/>
  <c r="M128" i="8"/>
  <c r="O128" i="8"/>
  <c r="M129" i="8"/>
  <c r="O129" i="8"/>
  <c r="M130" i="8"/>
  <c r="O130" i="8"/>
  <c r="M131" i="8"/>
  <c r="O131" i="8"/>
  <c r="M132" i="8"/>
  <c r="O132" i="8"/>
  <c r="M133" i="8"/>
  <c r="O133" i="8"/>
  <c r="M134" i="8"/>
  <c r="O134" i="8"/>
  <c r="M135" i="8"/>
  <c r="O135" i="8"/>
  <c r="M136" i="8"/>
  <c r="O136" i="8"/>
  <c r="M137" i="8"/>
  <c r="O137" i="8"/>
  <c r="M138" i="8"/>
  <c r="O138" i="8"/>
  <c r="M139" i="8"/>
  <c r="O139" i="8"/>
  <c r="M140" i="8"/>
  <c r="O140" i="8"/>
  <c r="M141" i="8"/>
  <c r="O141" i="8"/>
  <c r="M142" i="8"/>
  <c r="O142" i="8"/>
  <c r="M143" i="8"/>
  <c r="O143" i="8"/>
  <c r="M144" i="8"/>
  <c r="O144" i="8"/>
  <c r="M145" i="8"/>
  <c r="O145" i="8"/>
  <c r="M146" i="8"/>
  <c r="O146" i="8"/>
  <c r="M147" i="8"/>
  <c r="O147" i="8"/>
  <c r="M148" i="8"/>
  <c r="O148" i="8"/>
  <c r="M149" i="8"/>
  <c r="O149" i="8"/>
  <c r="M150" i="8"/>
  <c r="O150" i="8"/>
  <c r="M151" i="8"/>
  <c r="O151" i="8"/>
  <c r="M152" i="8"/>
  <c r="O152" i="8"/>
  <c r="M153" i="8"/>
  <c r="O153" i="8"/>
  <c r="M154" i="8"/>
  <c r="O154" i="8"/>
  <c r="I11" i="7"/>
  <c r="K11" i="7"/>
  <c r="I17" i="7"/>
  <c r="L17" i="7"/>
  <c r="N17" i="7"/>
  <c r="I18" i="7"/>
  <c r="N18" i="7"/>
  <c r="I19" i="7"/>
  <c r="L19" i="7"/>
  <c r="N19" i="7"/>
  <c r="I20" i="7"/>
  <c r="L20" i="7"/>
  <c r="N20" i="7"/>
  <c r="I21" i="7"/>
  <c r="I22" i="7"/>
  <c r="N31" i="7"/>
  <c r="N32" i="7"/>
  <c r="N33" i="7"/>
  <c r="L37" i="7"/>
  <c r="N37" i="7"/>
  <c r="L38" i="7"/>
  <c r="N38" i="7"/>
  <c r="L39" i="7"/>
  <c r="N39" i="7"/>
  <c r="L40" i="7"/>
  <c r="N40" i="7"/>
  <c r="L41" i="7"/>
  <c r="N41" i="7"/>
  <c r="L42" i="7"/>
  <c r="N42" i="7"/>
  <c r="L43" i="7"/>
  <c r="N43" i="7"/>
  <c r="L44" i="7"/>
  <c r="N44" i="7"/>
  <c r="L45" i="7"/>
  <c r="N45" i="7"/>
  <c r="L46" i="7"/>
  <c r="N46" i="7"/>
  <c r="L47" i="7"/>
  <c r="N47" i="7"/>
  <c r="L48" i="7"/>
  <c r="N48" i="7"/>
  <c r="L49" i="7"/>
  <c r="N49" i="7"/>
  <c r="L50" i="7"/>
  <c r="N50" i="7"/>
  <c r="L51" i="7"/>
  <c r="N51" i="7"/>
  <c r="L52" i="7"/>
  <c r="N52" i="7"/>
  <c r="L53" i="7"/>
  <c r="N53" i="7"/>
  <c r="L54" i="7"/>
  <c r="N54" i="7"/>
  <c r="L55" i="7"/>
  <c r="N55" i="7"/>
  <c r="L56" i="7"/>
  <c r="N56" i="7"/>
  <c r="L57" i="7"/>
  <c r="N57" i="7"/>
  <c r="L58" i="7"/>
  <c r="N58" i="7"/>
  <c r="L59" i="7"/>
  <c r="N59" i="7"/>
  <c r="L60" i="7"/>
  <c r="N60" i="7"/>
  <c r="L61" i="7"/>
  <c r="N61" i="7"/>
  <c r="L62" i="7"/>
  <c r="N62" i="7"/>
  <c r="L63" i="7"/>
  <c r="N63" i="7"/>
  <c r="L64" i="7"/>
  <c r="N64" i="7"/>
  <c r="L65" i="7"/>
  <c r="N65" i="7"/>
  <c r="L66" i="7"/>
  <c r="N66" i="7"/>
  <c r="L67" i="7"/>
  <c r="N67" i="7"/>
  <c r="L68" i="7"/>
  <c r="N68" i="7"/>
  <c r="L69" i="7"/>
  <c r="N69" i="7"/>
  <c r="L70" i="7"/>
  <c r="N70" i="7"/>
  <c r="L71" i="7"/>
  <c r="N71" i="7"/>
  <c r="L72" i="7"/>
  <c r="N72" i="7"/>
  <c r="D89" i="7"/>
  <c r="D91" i="7"/>
  <c r="J93" i="7"/>
  <c r="L93" i="7"/>
  <c r="D96" i="7"/>
  <c r="J99" i="7"/>
  <c r="M99" i="7"/>
  <c r="O99" i="7"/>
  <c r="J100" i="7"/>
  <c r="M100" i="7"/>
  <c r="O100" i="7"/>
  <c r="J101" i="7"/>
  <c r="O101" i="7"/>
  <c r="J102" i="7"/>
  <c r="J103" i="7"/>
  <c r="M104" i="7"/>
  <c r="O112" i="7"/>
  <c r="O113" i="7"/>
  <c r="M118" i="7"/>
  <c r="O118" i="7"/>
  <c r="M119" i="7"/>
  <c r="O119" i="7"/>
  <c r="M120" i="7"/>
  <c r="O120" i="7"/>
  <c r="M121" i="7"/>
  <c r="O121" i="7"/>
  <c r="M122" i="7"/>
  <c r="O122" i="7"/>
  <c r="M123" i="7"/>
  <c r="O123" i="7"/>
  <c r="M124" i="7"/>
  <c r="O124" i="7"/>
  <c r="M125" i="7"/>
  <c r="O125" i="7"/>
  <c r="M126" i="7"/>
  <c r="O126" i="7"/>
  <c r="M127" i="7"/>
  <c r="O127" i="7"/>
  <c r="M128" i="7"/>
  <c r="O128" i="7"/>
  <c r="M129" i="7"/>
  <c r="O129" i="7"/>
  <c r="M130" i="7"/>
  <c r="O130" i="7"/>
  <c r="M131" i="7"/>
  <c r="O131" i="7"/>
  <c r="M132" i="7"/>
  <c r="O132" i="7"/>
  <c r="M133" i="7"/>
  <c r="O133" i="7"/>
  <c r="M134" i="7"/>
  <c r="O134" i="7"/>
  <c r="M135" i="7"/>
  <c r="O135" i="7"/>
  <c r="M136" i="7"/>
  <c r="O136" i="7"/>
  <c r="M137" i="7"/>
  <c r="O137" i="7"/>
  <c r="M138" i="7"/>
  <c r="O138" i="7"/>
  <c r="M139" i="7"/>
  <c r="O139" i="7"/>
  <c r="M140" i="7"/>
  <c r="O140" i="7"/>
  <c r="M141" i="7"/>
  <c r="O141" i="7"/>
  <c r="M142" i="7"/>
  <c r="O142" i="7"/>
  <c r="M143" i="7"/>
  <c r="O143" i="7"/>
  <c r="M144" i="7"/>
  <c r="O144" i="7"/>
  <c r="M145" i="7"/>
  <c r="O145" i="7"/>
  <c r="M146" i="7"/>
  <c r="O146" i="7"/>
  <c r="M147" i="7"/>
  <c r="O147" i="7"/>
  <c r="M148" i="7"/>
  <c r="O148" i="7"/>
  <c r="M149" i="7"/>
  <c r="O149" i="7"/>
  <c r="M150" i="7"/>
  <c r="O150" i="7"/>
  <c r="M151" i="7"/>
  <c r="O151" i="7"/>
  <c r="M152" i="7"/>
  <c r="O152" i="7"/>
  <c r="M153" i="7"/>
  <c r="O153" i="7"/>
  <c r="M154" i="7"/>
  <c r="O154" i="7"/>
  <c r="K11" i="6"/>
  <c r="I17" i="6"/>
  <c r="L17" i="6"/>
  <c r="N17" i="6"/>
  <c r="I18" i="6"/>
  <c r="L18" i="6"/>
  <c r="N18" i="6"/>
  <c r="N19" i="6"/>
  <c r="L20" i="6"/>
  <c r="N20" i="6"/>
  <c r="L21" i="6"/>
  <c r="N29" i="6"/>
  <c r="N30" i="6"/>
  <c r="N31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L43" i="6"/>
  <c r="N43" i="6"/>
  <c r="L44" i="6"/>
  <c r="N44" i="6"/>
  <c r="C61" i="6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L45" i="6"/>
  <c r="N45" i="6"/>
  <c r="L46" i="6"/>
  <c r="N46" i="6"/>
  <c r="L47" i="6"/>
  <c r="N47" i="6"/>
  <c r="L48" i="6"/>
  <c r="N48" i="6"/>
  <c r="L49" i="6"/>
  <c r="N49" i="6"/>
  <c r="L50" i="6"/>
  <c r="N50" i="6"/>
  <c r="L51" i="6"/>
  <c r="N51" i="6"/>
  <c r="L52" i="6"/>
  <c r="N52" i="6"/>
  <c r="L53" i="6"/>
  <c r="N53" i="6"/>
  <c r="L54" i="6"/>
  <c r="N54" i="6"/>
  <c r="L55" i="6"/>
  <c r="N55" i="6"/>
  <c r="L56" i="6"/>
  <c r="N56" i="6"/>
  <c r="L57" i="6"/>
  <c r="N57" i="6"/>
  <c r="L58" i="6"/>
  <c r="N58" i="6"/>
  <c r="L59" i="6"/>
  <c r="N59" i="6"/>
  <c r="L60" i="6"/>
  <c r="N60" i="6"/>
  <c r="L61" i="6"/>
  <c r="N61" i="6"/>
  <c r="L62" i="6"/>
  <c r="N62" i="6"/>
  <c r="L63" i="6"/>
  <c r="N63" i="6"/>
  <c r="L64" i="6"/>
  <c r="N64" i="6"/>
  <c r="L65" i="6"/>
  <c r="N65" i="6"/>
  <c r="L66" i="6"/>
  <c r="N66" i="6"/>
  <c r="L67" i="6"/>
  <c r="N67" i="6"/>
  <c r="L68" i="6"/>
  <c r="N68" i="6"/>
  <c r="L69" i="6"/>
  <c r="N69" i="6"/>
  <c r="L70" i="6"/>
  <c r="N70" i="6"/>
  <c r="L71" i="6"/>
  <c r="N71" i="6"/>
  <c r="L72" i="6"/>
  <c r="N72" i="6"/>
  <c r="D89" i="6"/>
  <c r="D91" i="6"/>
  <c r="J93" i="6"/>
  <c r="L93" i="6"/>
  <c r="D96" i="6"/>
  <c r="J99" i="6"/>
  <c r="M99" i="6"/>
  <c r="J100" i="6"/>
  <c r="M100" i="6"/>
  <c r="J101" i="6"/>
  <c r="O101" i="6"/>
  <c r="O102" i="6"/>
  <c r="O110" i="6"/>
  <c r="O111" i="6"/>
  <c r="M116" i="6"/>
  <c r="O116" i="6"/>
  <c r="M117" i="6"/>
  <c r="O117" i="6"/>
  <c r="M118" i="6"/>
  <c r="O118" i="6"/>
  <c r="M119" i="6"/>
  <c r="O119" i="6"/>
  <c r="M120" i="6"/>
  <c r="O120" i="6"/>
  <c r="M121" i="6"/>
  <c r="O121" i="6"/>
  <c r="M122" i="6"/>
  <c r="O122" i="6"/>
  <c r="M123" i="6"/>
  <c r="O123" i="6"/>
  <c r="M124" i="6"/>
  <c r="O124" i="6"/>
  <c r="M125" i="6"/>
  <c r="O125" i="6"/>
  <c r="M126" i="6"/>
  <c r="O126" i="6"/>
  <c r="M127" i="6"/>
  <c r="O127" i="6"/>
  <c r="M128" i="6"/>
  <c r="O128" i="6"/>
  <c r="M129" i="6"/>
  <c r="O129" i="6"/>
  <c r="M130" i="6"/>
  <c r="O130" i="6"/>
  <c r="M131" i="6"/>
  <c r="O131" i="6"/>
  <c r="M132" i="6"/>
  <c r="O132" i="6"/>
  <c r="M133" i="6"/>
  <c r="O133" i="6"/>
  <c r="M134" i="6"/>
  <c r="O134" i="6"/>
  <c r="M135" i="6"/>
  <c r="O135" i="6"/>
  <c r="M136" i="6"/>
  <c r="O136" i="6"/>
  <c r="M137" i="6"/>
  <c r="O137" i="6"/>
  <c r="M138" i="6"/>
  <c r="O138" i="6"/>
  <c r="M139" i="6"/>
  <c r="O139" i="6"/>
  <c r="M140" i="6"/>
  <c r="O140" i="6"/>
  <c r="M141" i="6"/>
  <c r="O141" i="6"/>
  <c r="M142" i="6"/>
  <c r="O142" i="6"/>
  <c r="M143" i="6"/>
  <c r="O143" i="6"/>
  <c r="M144" i="6"/>
  <c r="O144" i="6"/>
  <c r="M145" i="6"/>
  <c r="O145" i="6"/>
  <c r="M146" i="6"/>
  <c r="O146" i="6"/>
  <c r="M147" i="6"/>
  <c r="O147" i="6"/>
  <c r="M148" i="6"/>
  <c r="O148" i="6"/>
  <c r="M149" i="6"/>
  <c r="O149" i="6"/>
  <c r="M150" i="6"/>
  <c r="O150" i="6"/>
  <c r="M151" i="6"/>
  <c r="O151" i="6"/>
  <c r="M152" i="6"/>
  <c r="O152" i="6"/>
  <c r="M153" i="6"/>
  <c r="O153" i="6"/>
  <c r="M154" i="6"/>
  <c r="O154" i="6"/>
  <c r="K11" i="5"/>
  <c r="I17" i="5"/>
  <c r="L17" i="5"/>
  <c r="N17" i="5"/>
  <c r="I18" i="5"/>
  <c r="N18" i="5"/>
  <c r="I19" i="5"/>
  <c r="N19" i="5"/>
  <c r="O19" i="5" s="1"/>
  <c r="N28" i="5"/>
  <c r="O28" i="5" s="1"/>
  <c r="N29" i="5"/>
  <c r="N30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I49" i="5"/>
  <c r="L49" i="5"/>
  <c r="N49" i="5"/>
  <c r="O49" i="5"/>
  <c r="I50" i="5"/>
  <c r="L50" i="5"/>
  <c r="N50" i="5"/>
  <c r="O50" i="5"/>
  <c r="I51" i="5"/>
  <c r="L51" i="5"/>
  <c r="N51" i="5"/>
  <c r="O51" i="5"/>
  <c r="I52" i="5"/>
  <c r="L52" i="5"/>
  <c r="N52" i="5"/>
  <c r="O52" i="5"/>
  <c r="I53" i="5"/>
  <c r="L53" i="5"/>
  <c r="N53" i="5"/>
  <c r="O53" i="5"/>
  <c r="I54" i="5"/>
  <c r="L54" i="5"/>
  <c r="N54" i="5"/>
  <c r="O54" i="5"/>
  <c r="I55" i="5"/>
  <c r="L55" i="5"/>
  <c r="N55" i="5"/>
  <c r="O55" i="5"/>
  <c r="I56" i="5"/>
  <c r="L56" i="5"/>
  <c r="N56" i="5"/>
  <c r="O56" i="5"/>
  <c r="I57" i="5"/>
  <c r="L57" i="5"/>
  <c r="N57" i="5"/>
  <c r="O57" i="5"/>
  <c r="I58" i="5"/>
  <c r="L58" i="5"/>
  <c r="N58" i="5"/>
  <c r="O58" i="5"/>
  <c r="I59" i="5"/>
  <c r="L59" i="5"/>
  <c r="N59" i="5"/>
  <c r="O59" i="5"/>
  <c r="I60" i="5"/>
  <c r="L60" i="5"/>
  <c r="N60" i="5"/>
  <c r="O60" i="5"/>
  <c r="I61" i="5"/>
  <c r="L61" i="5"/>
  <c r="N61" i="5"/>
  <c r="O61" i="5"/>
  <c r="I62" i="5"/>
  <c r="L62" i="5"/>
  <c r="N62" i="5"/>
  <c r="O62" i="5"/>
  <c r="I63" i="5"/>
  <c r="L63" i="5"/>
  <c r="N63" i="5"/>
  <c r="O63" i="5"/>
  <c r="I64" i="5"/>
  <c r="L64" i="5"/>
  <c r="N64" i="5"/>
  <c r="O64" i="5"/>
  <c r="I65" i="5"/>
  <c r="L65" i="5"/>
  <c r="N65" i="5"/>
  <c r="O65" i="5"/>
  <c r="I66" i="5"/>
  <c r="L66" i="5"/>
  <c r="N66" i="5"/>
  <c r="O66" i="5"/>
  <c r="I67" i="5"/>
  <c r="L67" i="5"/>
  <c r="N67" i="5"/>
  <c r="O67" i="5"/>
  <c r="I68" i="5"/>
  <c r="L68" i="5"/>
  <c r="N68" i="5"/>
  <c r="O68" i="5"/>
  <c r="I69" i="5"/>
  <c r="L69" i="5"/>
  <c r="N69" i="5"/>
  <c r="O69" i="5"/>
  <c r="I70" i="5"/>
  <c r="L70" i="5"/>
  <c r="N70" i="5"/>
  <c r="O70" i="5"/>
  <c r="I71" i="5"/>
  <c r="L71" i="5"/>
  <c r="N71" i="5"/>
  <c r="O71" i="5"/>
  <c r="I72" i="5"/>
  <c r="L72" i="5"/>
  <c r="N72" i="5"/>
  <c r="O72" i="5"/>
  <c r="D89" i="5"/>
  <c r="D91" i="5"/>
  <c r="J93" i="5"/>
  <c r="L93" i="5"/>
  <c r="D96" i="5"/>
  <c r="J99" i="5"/>
  <c r="O99" i="5"/>
  <c r="P99" i="5" s="1"/>
  <c r="J100" i="5"/>
  <c r="M100" i="5"/>
  <c r="P100" i="5" s="1"/>
  <c r="M101" i="5"/>
  <c r="O101" i="5"/>
  <c r="O109" i="5"/>
  <c r="O110" i="5"/>
  <c r="M115" i="5"/>
  <c r="O115" i="5"/>
  <c r="M116" i="5"/>
  <c r="O116" i="5"/>
  <c r="M117" i="5"/>
  <c r="O117" i="5"/>
  <c r="M118" i="5"/>
  <c r="O118" i="5"/>
  <c r="M119" i="5"/>
  <c r="O119" i="5"/>
  <c r="M120" i="5"/>
  <c r="O120" i="5"/>
  <c r="M121" i="5"/>
  <c r="O121" i="5"/>
  <c r="M122" i="5"/>
  <c r="O122" i="5"/>
  <c r="M123" i="5"/>
  <c r="O123" i="5"/>
  <c r="M124" i="5"/>
  <c r="O124" i="5"/>
  <c r="M125" i="5"/>
  <c r="O125" i="5"/>
  <c r="M126" i="5"/>
  <c r="O126" i="5"/>
  <c r="M127" i="5"/>
  <c r="O127" i="5"/>
  <c r="M128" i="5"/>
  <c r="O128" i="5"/>
  <c r="M129" i="5"/>
  <c r="O129" i="5"/>
  <c r="M130" i="5"/>
  <c r="O130" i="5"/>
  <c r="M131" i="5"/>
  <c r="O131" i="5"/>
  <c r="M132" i="5"/>
  <c r="O132" i="5"/>
  <c r="M133" i="5"/>
  <c r="O133" i="5"/>
  <c r="M134" i="5"/>
  <c r="O134" i="5"/>
  <c r="M135" i="5"/>
  <c r="O135" i="5"/>
  <c r="M136" i="5"/>
  <c r="O136" i="5"/>
  <c r="M137" i="5"/>
  <c r="O137" i="5"/>
  <c r="M138" i="5"/>
  <c r="O138" i="5"/>
  <c r="M139" i="5"/>
  <c r="O139" i="5"/>
  <c r="M140" i="5"/>
  <c r="O140" i="5"/>
  <c r="M141" i="5"/>
  <c r="O141" i="5"/>
  <c r="M142" i="5"/>
  <c r="O142" i="5"/>
  <c r="M143" i="5"/>
  <c r="O143" i="5"/>
  <c r="M144" i="5"/>
  <c r="O144" i="5"/>
  <c r="M145" i="5"/>
  <c r="O145" i="5"/>
  <c r="M146" i="5"/>
  <c r="O146" i="5"/>
  <c r="M147" i="5"/>
  <c r="O147" i="5"/>
  <c r="M148" i="5"/>
  <c r="O148" i="5"/>
  <c r="M149" i="5"/>
  <c r="O149" i="5"/>
  <c r="M150" i="5"/>
  <c r="O150" i="5"/>
  <c r="M151" i="5"/>
  <c r="O151" i="5"/>
  <c r="M152" i="5"/>
  <c r="O152" i="5"/>
  <c r="M153" i="5"/>
  <c r="O153" i="5"/>
  <c r="M154" i="5"/>
  <c r="O154" i="5"/>
  <c r="K11" i="4"/>
  <c r="I17" i="4"/>
  <c r="L17" i="4"/>
  <c r="N17" i="4"/>
  <c r="O17" i="4" s="1"/>
  <c r="I18" i="4"/>
  <c r="L18" i="4"/>
  <c r="I19" i="4"/>
  <c r="L19" i="4"/>
  <c r="N19" i="4"/>
  <c r="L20" i="4"/>
  <c r="N28" i="4"/>
  <c r="N29" i="4"/>
  <c r="N30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D89" i="4"/>
  <c r="D91" i="4"/>
  <c r="J93" i="4"/>
  <c r="L93" i="4"/>
  <c r="D96" i="4"/>
  <c r="J99" i="4"/>
  <c r="O99" i="4"/>
  <c r="J100" i="4"/>
  <c r="M100" i="4"/>
  <c r="O100" i="4"/>
  <c r="P105" i="4"/>
  <c r="O109" i="4"/>
  <c r="O110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K11" i="3"/>
  <c r="I17" i="3"/>
  <c r="L17" i="3"/>
  <c r="N17" i="3"/>
  <c r="L18" i="3"/>
  <c r="N28" i="3"/>
  <c r="N29" i="3"/>
  <c r="N30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J100" i="3"/>
  <c r="M100" i="3"/>
  <c r="M101" i="3"/>
  <c r="O109" i="3"/>
  <c r="O110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D17" i="1"/>
  <c r="E18" i="1"/>
  <c r="E24" i="1"/>
  <c r="E31" i="1"/>
  <c r="E34" i="1"/>
  <c r="C40" i="1"/>
  <c r="C44" i="1"/>
  <c r="F44" i="1"/>
  <c r="F45" i="1"/>
  <c r="F46" i="1"/>
  <c r="F47" i="1"/>
  <c r="C52" i="1"/>
  <c r="F64" i="1"/>
  <c r="F58" i="1"/>
  <c r="F75" i="1"/>
  <c r="C89" i="1"/>
  <c r="C90" i="1"/>
  <c r="S132" i="1"/>
  <c r="S133" i="1"/>
  <c r="S134" i="1"/>
  <c r="I20" i="6"/>
  <c r="I19" i="6"/>
  <c r="B21" i="8"/>
  <c r="B21" i="6"/>
  <c r="B19" i="22"/>
  <c r="D8" i="3"/>
  <c r="D90" i="3" s="1"/>
  <c r="B23" i="7"/>
  <c r="B21" i="5"/>
  <c r="B21" i="4"/>
  <c r="I21" i="8"/>
  <c r="B20" i="3"/>
  <c r="I20" i="5"/>
  <c r="B23" i="11"/>
  <c r="I23" i="10"/>
  <c r="I19" i="22"/>
  <c r="I22" i="11"/>
  <c r="B22" i="8"/>
  <c r="I18" i="23"/>
  <c r="B20" i="22"/>
  <c r="I23" i="7"/>
  <c r="I17" i="25"/>
  <c r="B24" i="7"/>
  <c r="I20" i="4"/>
  <c r="B22" i="6"/>
  <c r="I20" i="3"/>
  <c r="I22" i="9"/>
  <c r="I17" i="24"/>
  <c r="B100" i="23"/>
  <c r="I21" i="6"/>
  <c r="B105" i="7"/>
  <c r="B101" i="22"/>
  <c r="B103" i="8"/>
  <c r="B103" i="6"/>
  <c r="B105" i="10"/>
  <c r="B102" i="4"/>
  <c r="J104" i="7"/>
  <c r="J99" i="23"/>
  <c r="J103" i="11"/>
  <c r="J103" i="9"/>
  <c r="J104" i="10"/>
  <c r="J101" i="3"/>
  <c r="J101" i="4"/>
  <c r="J102" i="6"/>
  <c r="J100" i="22"/>
  <c r="J102" i="8"/>
  <c r="J101" i="5"/>
  <c r="B18" i="25"/>
  <c r="P99" i="23"/>
  <c r="B104" i="11"/>
  <c r="B24" i="10"/>
  <c r="B104" i="9"/>
  <c r="B23" i="9"/>
  <c r="B102" i="5"/>
  <c r="B102" i="3"/>
  <c r="B21" i="3"/>
  <c r="O18" i="25"/>
  <c r="B19" i="25"/>
  <c r="B20" i="25"/>
  <c r="I18" i="25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B24" i="11"/>
  <c r="B21" i="22"/>
  <c r="B102" i="25"/>
  <c r="B25" i="7"/>
  <c r="B23" i="6"/>
  <c r="B22" i="3"/>
  <c r="B22" i="4"/>
  <c r="B103" i="4"/>
  <c r="B105" i="9"/>
  <c r="B106" i="7"/>
  <c r="B102" i="22"/>
  <c r="B103" i="3"/>
  <c r="B101" i="23"/>
  <c r="B105" i="11"/>
  <c r="B104" i="8"/>
  <c r="B106" i="10"/>
  <c r="B103" i="5"/>
  <c r="B21" i="25"/>
  <c r="B18" i="27"/>
  <c r="I18" i="24"/>
  <c r="B19" i="24"/>
  <c r="K18" i="24"/>
  <c r="L18" i="24" s="1"/>
  <c r="B18" i="24"/>
  <c r="C99" i="24"/>
  <c r="B25" i="10"/>
  <c r="B24" i="9"/>
  <c r="B23" i="8"/>
  <c r="B104" i="6"/>
  <c r="B22" i="5"/>
  <c r="P102" i="3"/>
  <c r="M18" i="24"/>
  <c r="N18" i="24" s="1"/>
  <c r="B100" i="24"/>
  <c r="N99" i="24"/>
  <c r="O99" i="24" s="1"/>
  <c r="L99" i="24"/>
  <c r="M99" i="24" s="1"/>
  <c r="J99" i="24"/>
  <c r="D8" i="23"/>
  <c r="D90" i="23" s="1"/>
  <c r="B20" i="23"/>
  <c r="B23" i="5"/>
  <c r="B18" i="29"/>
  <c r="B18" i="28"/>
  <c r="B106" i="9"/>
  <c r="B103" i="22"/>
  <c r="B104" i="3"/>
  <c r="B105" i="6"/>
  <c r="B106" i="11"/>
  <c r="B104" i="5"/>
  <c r="B21" i="23"/>
  <c r="B22" i="25"/>
  <c r="B20" i="24"/>
  <c r="B23" i="3"/>
  <c r="B101" i="24"/>
  <c r="B103" i="25"/>
  <c r="B105" i="8"/>
  <c r="B23" i="4"/>
  <c r="B25" i="11"/>
  <c r="B25" i="9"/>
  <c r="B102" i="23"/>
  <c r="B22" i="22"/>
  <c r="N24" i="11"/>
  <c r="B107" i="10"/>
  <c r="B26" i="10"/>
  <c r="B24" i="8"/>
  <c r="B107" i="7"/>
  <c r="B26" i="7"/>
  <c r="B24" i="6"/>
  <c r="B104" i="4"/>
  <c r="N22" i="3"/>
  <c r="B18" i="31"/>
  <c r="B19" i="28"/>
  <c r="B25" i="6"/>
  <c r="B23" i="25"/>
  <c r="B22" i="23"/>
  <c r="B23" i="22"/>
  <c r="B102" i="24"/>
  <c r="B105" i="4"/>
  <c r="B104" i="25"/>
  <c r="B106" i="8"/>
  <c r="B105" i="5"/>
  <c r="B104" i="22"/>
  <c r="B26" i="11"/>
  <c r="B21" i="24"/>
  <c r="B25" i="8"/>
  <c r="B24" i="3"/>
  <c r="B27" i="10"/>
  <c r="B24" i="5"/>
  <c r="B107" i="11"/>
  <c r="B107" i="9"/>
  <c r="B108" i="7"/>
  <c r="B19" i="31"/>
  <c r="B100" i="29"/>
  <c r="B19" i="29"/>
  <c r="B108" i="10"/>
  <c r="B26" i="9"/>
  <c r="B27" i="7"/>
  <c r="B106" i="6"/>
  <c r="B24" i="4"/>
  <c r="B105" i="3"/>
  <c r="K18" i="27"/>
  <c r="L18" i="27" s="1"/>
  <c r="B103" i="23"/>
  <c r="B100" i="27"/>
  <c r="B19" i="27"/>
  <c r="I18" i="27"/>
  <c r="M18" i="27"/>
  <c r="N18" i="27" s="1"/>
  <c r="I19" i="27"/>
  <c r="B101" i="27"/>
  <c r="J100" i="27"/>
  <c r="B100" i="28"/>
  <c r="B18" i="30"/>
  <c r="P99" i="31"/>
  <c r="B100" i="31"/>
  <c r="B106" i="4"/>
  <c r="J105" i="4"/>
  <c r="B107" i="6"/>
  <c r="J106" i="6"/>
  <c r="B106" i="5"/>
  <c r="B102" i="27"/>
  <c r="B101" i="28"/>
  <c r="B104" i="23"/>
  <c r="B100" i="30"/>
  <c r="B106" i="3"/>
  <c r="B101" i="31"/>
  <c r="B105" i="25"/>
  <c r="B25" i="5"/>
  <c r="B24" i="22"/>
  <c r="B20" i="31"/>
  <c r="B20" i="27"/>
  <c r="B25" i="4"/>
  <c r="B20" i="29"/>
  <c r="B19" i="30"/>
  <c r="B27" i="9"/>
  <c r="B25" i="3"/>
  <c r="B23" i="23"/>
  <c r="J101" i="27"/>
  <c r="B105" i="22"/>
  <c r="J105" i="5"/>
  <c r="J108" i="10"/>
  <c r="B107" i="8"/>
  <c r="J100" i="28"/>
  <c r="B109" i="7"/>
  <c r="J105" i="3"/>
  <c r="I18" i="30"/>
  <c r="I27" i="7"/>
  <c r="I26" i="9"/>
  <c r="B27" i="11"/>
  <c r="B26" i="8"/>
  <c r="I23" i="22"/>
  <c r="B22" i="24"/>
  <c r="I24" i="5"/>
  <c r="I23" i="25"/>
  <c r="I19" i="28"/>
  <c r="B26" i="6"/>
  <c r="I22" i="23"/>
  <c r="I24" i="3"/>
  <c r="I26" i="11"/>
  <c r="I25" i="8"/>
  <c r="I19" i="29"/>
  <c r="I24" i="4"/>
  <c r="I27" i="10"/>
  <c r="I19" i="31"/>
  <c r="I21" i="24"/>
  <c r="I25" i="6"/>
  <c r="J102" i="24"/>
  <c r="J106" i="8"/>
  <c r="J104" i="22"/>
  <c r="J100" i="29"/>
  <c r="J104" i="25"/>
  <c r="J108" i="7"/>
  <c r="J107" i="9"/>
  <c r="J100" i="31"/>
  <c r="J99" i="30"/>
  <c r="J107" i="11"/>
  <c r="J103" i="23"/>
  <c r="I20" i="27"/>
  <c r="B101" i="29"/>
  <c r="B108" i="9"/>
  <c r="B24" i="25"/>
  <c r="B20" i="28"/>
  <c r="B103" i="24"/>
  <c r="B108" i="11"/>
  <c r="B109" i="10"/>
  <c r="B28" i="10"/>
  <c r="L24" i="8"/>
  <c r="B28" i="7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8" i="1"/>
  <c r="C12" i="1"/>
  <c r="D19" i="1"/>
  <c r="B29" i="10"/>
  <c r="I24" i="25"/>
  <c r="B27" i="6"/>
  <c r="B20" i="30"/>
  <c r="B21" i="27"/>
  <c r="I17" i="39"/>
  <c r="B21" i="29"/>
  <c r="I27" i="9"/>
  <c r="B23" i="24"/>
  <c r="I22" i="24"/>
  <c r="B28" i="9"/>
  <c r="I23" i="23"/>
  <c r="B21" i="28"/>
  <c r="I20" i="28"/>
  <c r="I26" i="8"/>
  <c r="B24" i="23"/>
  <c r="I19" i="30"/>
  <c r="I26" i="6"/>
  <c r="I24" i="22"/>
  <c r="I28" i="10"/>
  <c r="I21" i="27"/>
  <c r="I20" i="29"/>
  <c r="B27" i="8"/>
  <c r="B102" i="29"/>
  <c r="B29" i="7"/>
  <c r="B26" i="4"/>
  <c r="I25" i="3"/>
  <c r="I27" i="11"/>
  <c r="B26" i="3"/>
  <c r="I25" i="4"/>
  <c r="I17" i="37"/>
  <c r="I28" i="7"/>
  <c r="B26" i="5"/>
  <c r="I25" i="5"/>
  <c r="J102" i="27"/>
  <c r="B107" i="3"/>
  <c r="B106" i="25"/>
  <c r="J105" i="25"/>
  <c r="J101" i="29"/>
  <c r="B106" i="22"/>
  <c r="B108" i="8"/>
  <c r="J106" i="3"/>
  <c r="J100" i="30"/>
  <c r="B107" i="4"/>
  <c r="J108" i="9"/>
  <c r="B110" i="10"/>
  <c r="B109" i="11"/>
  <c r="B104" i="24"/>
  <c r="B105" i="23"/>
  <c r="B102" i="28"/>
  <c r="J109" i="10"/>
  <c r="J104" i="23"/>
  <c r="J108" i="11"/>
  <c r="J106" i="4"/>
  <c r="J105" i="22"/>
  <c r="J107" i="8"/>
  <c r="J107" i="6"/>
  <c r="J101" i="28"/>
  <c r="J103" i="24"/>
  <c r="B18" i="39"/>
  <c r="B18" i="37"/>
  <c r="B103" i="27"/>
  <c r="B25" i="25"/>
  <c r="B25" i="22"/>
  <c r="B28" i="11"/>
  <c r="B109" i="9"/>
  <c r="B107" i="5"/>
  <c r="A2" i="2"/>
  <c r="I10" i="7"/>
  <c r="I10" i="25"/>
  <c r="D93" i="25" s="1"/>
  <c r="C99" i="25" s="1"/>
  <c r="C100" i="25" s="1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I10" i="31"/>
  <c r="D94" i="31" s="1"/>
  <c r="C100" i="42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B110" i="7"/>
  <c r="J109" i="7"/>
  <c r="J106" i="5"/>
  <c r="C99" i="40"/>
  <c r="C100" i="40" s="1"/>
  <c r="C101" i="40" s="1"/>
  <c r="C102" i="40" s="1"/>
  <c r="C103" i="40" s="1"/>
  <c r="C104" i="40" s="1"/>
  <c r="C105" i="40" s="1"/>
  <c r="C106" i="40" s="1"/>
  <c r="C107" i="40" s="1"/>
  <c r="C108" i="40" s="1"/>
  <c r="C109" i="40" s="1"/>
  <c r="C110" i="40" s="1"/>
  <c r="C111" i="40" s="1"/>
  <c r="C112" i="40" s="1"/>
  <c r="C113" i="40" s="1"/>
  <c r="C114" i="40" s="1"/>
  <c r="C115" i="40" s="1"/>
  <c r="C116" i="40" s="1"/>
  <c r="C117" i="40" s="1"/>
  <c r="C118" i="40" s="1"/>
  <c r="C119" i="40" s="1"/>
  <c r="C120" i="40" s="1"/>
  <c r="C121" i="40" s="1"/>
  <c r="C122" i="40" s="1"/>
  <c r="C123" i="40" s="1"/>
  <c r="C124" i="40" s="1"/>
  <c r="C125" i="40" s="1"/>
  <c r="C126" i="40" s="1"/>
  <c r="C127" i="40" s="1"/>
  <c r="C128" i="40" s="1"/>
  <c r="C129" i="40" s="1"/>
  <c r="C130" i="40" s="1"/>
  <c r="C131" i="40" s="1"/>
  <c r="C132" i="40" s="1"/>
  <c r="C133" i="40" s="1"/>
  <c r="C134" i="40" s="1"/>
  <c r="C135" i="40" s="1"/>
  <c r="C136" i="40" s="1"/>
  <c r="C137" i="40" s="1"/>
  <c r="C138" i="40" s="1"/>
  <c r="C139" i="40" s="1"/>
  <c r="C140" i="40" s="1"/>
  <c r="C141" i="40" s="1"/>
  <c r="C142" i="40" s="1"/>
  <c r="C143" i="40" s="1"/>
  <c r="C144" i="40" s="1"/>
  <c r="C145" i="40" s="1"/>
  <c r="C146" i="40" s="1"/>
  <c r="C147" i="40" s="1"/>
  <c r="C148" i="40" s="1"/>
  <c r="C149" i="40" s="1"/>
  <c r="C150" i="40" s="1"/>
  <c r="C151" i="40" s="1"/>
  <c r="C152" i="40" s="1"/>
  <c r="C153" i="40" s="1"/>
  <c r="C154" i="40" s="1"/>
  <c r="I10" i="40"/>
  <c r="I10" i="8"/>
  <c r="I10" i="41"/>
  <c r="I10" i="22"/>
  <c r="D94" i="22" s="1"/>
  <c r="I10" i="6"/>
  <c r="D93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I10" i="37"/>
  <c r="D93" i="37" s="1"/>
  <c r="C99" i="37" s="1"/>
  <c r="C100" i="37" s="1"/>
  <c r="C101" i="37" s="1"/>
  <c r="C102" i="37" s="1"/>
  <c r="C103" i="37" s="1"/>
  <c r="C104" i="37" s="1"/>
  <c r="I10" i="28"/>
  <c r="I10" i="39"/>
  <c r="D93" i="39" s="1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I10" i="3"/>
  <c r="D94" i="3" s="1"/>
  <c r="I10" i="10"/>
  <c r="D94" i="10" s="1"/>
  <c r="I10" i="23"/>
  <c r="D93" i="23" s="1"/>
  <c r="I10" i="24"/>
  <c r="I10" i="5"/>
  <c r="D93" i="5" s="1"/>
  <c r="I10" i="11"/>
  <c r="D93" i="11" s="1"/>
  <c r="I10" i="42"/>
  <c r="I10" i="4"/>
  <c r="D93" i="4" s="1"/>
  <c r="I10" i="29"/>
  <c r="D94" i="29" s="1"/>
  <c r="I10" i="38"/>
  <c r="I10" i="30"/>
  <c r="D93" i="30" s="1"/>
  <c r="C99" i="30" s="1"/>
  <c r="I10" i="9"/>
  <c r="I10" i="13"/>
  <c r="E99" i="13" s="1"/>
  <c r="F99" i="13" s="1"/>
  <c r="B108" i="6"/>
  <c r="B21" i="31"/>
  <c r="I20" i="31"/>
  <c r="J101" i="31"/>
  <c r="B102" i="31"/>
  <c r="B109" i="6"/>
  <c r="B110" i="11"/>
  <c r="B18" i="38"/>
  <c r="I17" i="38"/>
  <c r="B108" i="5"/>
  <c r="B107" i="22"/>
  <c r="J103" i="27"/>
  <c r="J107" i="5"/>
  <c r="J108" i="6"/>
  <c r="B28" i="6"/>
  <c r="B27" i="4"/>
  <c r="B25" i="23"/>
  <c r="B22" i="31"/>
  <c r="B26" i="25"/>
  <c r="B18" i="40"/>
  <c r="B29" i="11"/>
  <c r="B27" i="5"/>
  <c r="B22" i="29"/>
  <c r="B30" i="7"/>
  <c r="B19" i="39"/>
  <c r="B18" i="41"/>
  <c r="J106" i="22"/>
  <c r="J102" i="28"/>
  <c r="J108" i="8"/>
  <c r="I20" i="30"/>
  <c r="I21" i="31"/>
  <c r="I27" i="8"/>
  <c r="I28" i="9"/>
  <c r="I27" i="6"/>
  <c r="I29" i="10"/>
  <c r="I26" i="3"/>
  <c r="I26" i="4"/>
  <c r="I18" i="39"/>
  <c r="I29" i="7"/>
  <c r="I17" i="40"/>
  <c r="I17" i="42"/>
  <c r="I18" i="37"/>
  <c r="B29" i="9"/>
  <c r="I23" i="24"/>
  <c r="I18" i="38"/>
  <c r="I28" i="11"/>
  <c r="I25" i="25"/>
  <c r="I21" i="28"/>
  <c r="I26" i="5"/>
  <c r="I17" i="41"/>
  <c r="I21" i="29"/>
  <c r="B21" i="30"/>
  <c r="B19" i="37"/>
  <c r="I24" i="23"/>
  <c r="I25" i="22"/>
  <c r="C18" i="43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B19" i="38"/>
  <c r="O20" i="37"/>
  <c r="B103" i="28"/>
  <c r="B22" i="28"/>
  <c r="B109" i="8"/>
  <c r="B27" i="3"/>
  <c r="B101" i="30"/>
  <c r="B104" i="27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P103" i="11"/>
  <c r="P100" i="6"/>
  <c r="P104" i="7"/>
  <c r="P99" i="7"/>
  <c r="P99" i="10"/>
  <c r="O19" i="7"/>
  <c r="O19" i="11"/>
  <c r="P107" i="8"/>
  <c r="P103" i="24"/>
  <c r="P103" i="23"/>
  <c r="B111" i="10"/>
  <c r="B100" i="38"/>
  <c r="J109" i="11"/>
  <c r="B103" i="29"/>
  <c r="J102" i="29"/>
  <c r="B22" i="27"/>
  <c r="B102" i="30"/>
  <c r="J110" i="10"/>
  <c r="B100" i="39"/>
  <c r="B103" i="31"/>
  <c r="J99" i="37"/>
  <c r="B105" i="24"/>
  <c r="J99" i="38"/>
  <c r="B111" i="7"/>
  <c r="B107" i="25"/>
  <c r="B108" i="3"/>
  <c r="B108" i="4"/>
  <c r="B106" i="23"/>
  <c r="I22" i="27"/>
  <c r="B110" i="9"/>
  <c r="J99" i="39"/>
  <c r="J109" i="9"/>
  <c r="J105" i="23"/>
  <c r="J106" i="25"/>
  <c r="J110" i="7"/>
  <c r="J104" i="24"/>
  <c r="J107" i="4"/>
  <c r="J107" i="3"/>
  <c r="J102" i="31"/>
  <c r="J101" i="30"/>
  <c r="O19" i="39"/>
  <c r="I10" i="44"/>
  <c r="I10" i="46"/>
  <c r="I10" i="43"/>
  <c r="F63" i="17"/>
  <c r="C63" i="17"/>
  <c r="O63" i="17"/>
  <c r="N63" i="17"/>
  <c r="D63" i="17"/>
  <c r="E63" i="17"/>
  <c r="J94" i="58" l="1"/>
  <c r="J95" i="58" s="1"/>
  <c r="J94" i="59"/>
  <c r="J95" i="59" s="1"/>
  <c r="O19" i="4"/>
  <c r="O20" i="7"/>
  <c r="P102" i="9"/>
  <c r="J92" i="41"/>
  <c r="L86" i="41" s="1"/>
  <c r="J92" i="58"/>
  <c r="J92" i="59"/>
  <c r="J94" i="42"/>
  <c r="J95" i="42" s="1"/>
  <c r="O24" i="9"/>
  <c r="G99" i="13"/>
  <c r="D100" i="13"/>
  <c r="I12" i="58"/>
  <c r="I13" i="58" s="1"/>
  <c r="I12" i="59"/>
  <c r="I13" i="59" s="1"/>
  <c r="H99" i="58"/>
  <c r="I99" i="58"/>
  <c r="E100" i="58"/>
  <c r="F100" i="58" s="1"/>
  <c r="B100" i="58"/>
  <c r="H99" i="59"/>
  <c r="I99" i="59"/>
  <c r="E100" i="59"/>
  <c r="F100" i="59" s="1"/>
  <c r="B100" i="59"/>
  <c r="J94" i="22"/>
  <c r="J95" i="22" s="1"/>
  <c r="J94" i="57"/>
  <c r="J94" i="56"/>
  <c r="J95" i="56" s="1"/>
  <c r="I99" i="56" s="1"/>
  <c r="J92" i="57"/>
  <c r="J92" i="56"/>
  <c r="I12" i="57"/>
  <c r="I13" i="57" s="1"/>
  <c r="I12" i="56"/>
  <c r="H99" i="56"/>
  <c r="B100" i="56"/>
  <c r="F100" i="56"/>
  <c r="D65" i="56"/>
  <c r="E65" i="56" s="1"/>
  <c r="O18" i="28"/>
  <c r="P99" i="30"/>
  <c r="J94" i="39"/>
  <c r="J95" i="39" s="1"/>
  <c r="J94" i="24"/>
  <c r="J95" i="24" s="1"/>
  <c r="J94" i="41"/>
  <c r="J95" i="41" s="1"/>
  <c r="J94" i="37"/>
  <c r="J95" i="37" s="1"/>
  <c r="O24" i="8"/>
  <c r="O27" i="9"/>
  <c r="O23" i="23"/>
  <c r="O24" i="25"/>
  <c r="O20" i="28"/>
  <c r="O17" i="37"/>
  <c r="O20" i="5"/>
  <c r="O23" i="7"/>
  <c r="P104" i="11"/>
  <c r="P100" i="25"/>
  <c r="O22" i="4"/>
  <c r="O23" i="8"/>
  <c r="O25" i="10"/>
  <c r="O21" i="22"/>
  <c r="O17" i="28"/>
  <c r="P101" i="24"/>
  <c r="P99" i="39"/>
  <c r="P103" i="7"/>
  <c r="P102" i="11"/>
  <c r="P105" i="7"/>
  <c r="P105" i="8"/>
  <c r="O24" i="11"/>
  <c r="O20" i="4"/>
  <c r="P99" i="4"/>
  <c r="O18" i="9"/>
  <c r="P100" i="30"/>
  <c r="P101" i="29"/>
  <c r="O22" i="3"/>
  <c r="O17" i="5"/>
  <c r="O18" i="6"/>
  <c r="P103" i="9"/>
  <c r="O19" i="10"/>
  <c r="P103" i="6"/>
  <c r="P101" i="22"/>
  <c r="P103" i="5"/>
  <c r="P109" i="10"/>
  <c r="P102" i="27"/>
  <c r="P101" i="5"/>
  <c r="O18" i="23"/>
  <c r="O24" i="7"/>
  <c r="O27" i="11"/>
  <c r="P103" i="27"/>
  <c r="P100" i="23"/>
  <c r="O17" i="39"/>
  <c r="O20" i="31"/>
  <c r="P100" i="27"/>
  <c r="O26" i="6"/>
  <c r="O24" i="10"/>
  <c r="P106" i="4"/>
  <c r="P99" i="25"/>
  <c r="O20" i="29"/>
  <c r="P103" i="3"/>
  <c r="P106" i="7"/>
  <c r="O25" i="11"/>
  <c r="P102" i="23"/>
  <c r="O21" i="23"/>
  <c r="O28" i="10"/>
  <c r="O19" i="25"/>
  <c r="O22" i="6"/>
  <c r="P107" i="10"/>
  <c r="O19" i="9"/>
  <c r="O18" i="27"/>
  <c r="P104" i="3"/>
  <c r="P99" i="27"/>
  <c r="O22" i="25"/>
  <c r="O18" i="31"/>
  <c r="O21" i="7"/>
  <c r="P100" i="3"/>
  <c r="P106" i="11"/>
  <c r="P106" i="8"/>
  <c r="O20" i="8"/>
  <c r="J94" i="5"/>
  <c r="J95" i="5" s="1"/>
  <c r="J94" i="54"/>
  <c r="J95" i="54" s="1"/>
  <c r="J94" i="55"/>
  <c r="H99" i="55" s="1"/>
  <c r="L99" i="55" s="1"/>
  <c r="M99" i="55" s="1"/>
  <c r="O27" i="7"/>
  <c r="O18" i="22"/>
  <c r="O22" i="22"/>
  <c r="P99" i="29"/>
  <c r="J92" i="55"/>
  <c r="J92" i="54"/>
  <c r="P99" i="38"/>
  <c r="P99" i="37"/>
  <c r="P99" i="28"/>
  <c r="P102" i="28"/>
  <c r="P102" i="24"/>
  <c r="P105" i="22"/>
  <c r="P108" i="11"/>
  <c r="P105" i="11"/>
  <c r="P103" i="10"/>
  <c r="P104" i="10"/>
  <c r="P105" i="9"/>
  <c r="P99" i="8"/>
  <c r="I12" i="37"/>
  <c r="I13" i="37" s="1"/>
  <c r="I12" i="55"/>
  <c r="I12" i="54"/>
  <c r="J94" i="29"/>
  <c r="J95" i="29" s="1"/>
  <c r="J94" i="23"/>
  <c r="J95" i="23" s="1"/>
  <c r="J94" i="31"/>
  <c r="J95" i="31" s="1"/>
  <c r="J94" i="40"/>
  <c r="J95" i="40" s="1"/>
  <c r="J94" i="10"/>
  <c r="J95" i="10" s="1"/>
  <c r="P102" i="6"/>
  <c r="P101" i="3"/>
  <c r="P101" i="4"/>
  <c r="O23" i="9"/>
  <c r="P100" i="24"/>
  <c r="O23" i="5"/>
  <c r="O26" i="7"/>
  <c r="P99" i="22"/>
  <c r="O20" i="25"/>
  <c r="O25" i="7"/>
  <c r="O20" i="23"/>
  <c r="O17" i="31"/>
  <c r="P104" i="4"/>
  <c r="P105" i="6"/>
  <c r="O26" i="10"/>
  <c r="P103" i="22"/>
  <c r="O23" i="25"/>
  <c r="P101" i="27"/>
  <c r="P109" i="7"/>
  <c r="O24" i="22"/>
  <c r="P104" i="23"/>
  <c r="P99" i="3"/>
  <c r="O17" i="10"/>
  <c r="O20" i="11"/>
  <c r="O21" i="10"/>
  <c r="P102" i="4"/>
  <c r="O17" i="27"/>
  <c r="P102" i="22"/>
  <c r="P102" i="25"/>
  <c r="O23" i="4"/>
  <c r="O24" i="6"/>
  <c r="O24" i="5"/>
  <c r="P108" i="7"/>
  <c r="O26" i="9"/>
  <c r="P107" i="11"/>
  <c r="P101" i="7"/>
  <c r="P102" i="8"/>
  <c r="P101" i="9"/>
  <c r="O17" i="9"/>
  <c r="P101" i="10"/>
  <c r="R12" i="17"/>
  <c r="T12" i="17" s="1"/>
  <c r="O18" i="4"/>
  <c r="P102" i="10"/>
  <c r="P101" i="11"/>
  <c r="O22" i="7"/>
  <c r="P104" i="9"/>
  <c r="P105" i="10"/>
  <c r="O20" i="22"/>
  <c r="P101" i="25"/>
  <c r="P104" i="5"/>
  <c r="P107" i="7"/>
  <c r="P106" i="25"/>
  <c r="P102" i="29"/>
  <c r="P102" i="31"/>
  <c r="C100" i="24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P99" i="24"/>
  <c r="P100" i="7"/>
  <c r="P99" i="6"/>
  <c r="O22" i="10"/>
  <c r="P106" i="10"/>
  <c r="O20" i="24"/>
  <c r="P107" i="3"/>
  <c r="P108" i="8"/>
  <c r="P106" i="22"/>
  <c r="O18" i="39"/>
  <c r="O17" i="3"/>
  <c r="O18" i="5"/>
  <c r="O19" i="6"/>
  <c r="O17" i="6"/>
  <c r="O20" i="10"/>
  <c r="O22" i="8"/>
  <c r="O22" i="5"/>
  <c r="P106" i="9"/>
  <c r="O18" i="38"/>
  <c r="O17" i="11"/>
  <c r="O17" i="25"/>
  <c r="P110" i="10"/>
  <c r="P104" i="24"/>
  <c r="O20" i="9"/>
  <c r="O18" i="3"/>
  <c r="O17" i="23"/>
  <c r="O21" i="3"/>
  <c r="O21" i="5"/>
  <c r="P104" i="8"/>
  <c r="O17" i="29"/>
  <c r="O23" i="3"/>
  <c r="O17" i="38"/>
  <c r="O26" i="11"/>
  <c r="O25" i="3"/>
  <c r="O25" i="4"/>
  <c r="P106" i="5"/>
  <c r="P101" i="31"/>
  <c r="O27" i="8"/>
  <c r="O25" i="22"/>
  <c r="O17" i="40"/>
  <c r="P100" i="4"/>
  <c r="P101" i="6"/>
  <c r="O20" i="6"/>
  <c r="O17" i="7"/>
  <c r="O18" i="8"/>
  <c r="O17" i="8"/>
  <c r="O18" i="10"/>
  <c r="O21" i="9"/>
  <c r="O17" i="24"/>
  <c r="P103" i="4"/>
  <c r="P101" i="23"/>
  <c r="O19" i="27"/>
  <c r="P105" i="5"/>
  <c r="P106" i="6"/>
  <c r="P104" i="25"/>
  <c r="O19" i="31"/>
  <c r="O25" i="5"/>
  <c r="P108" i="9"/>
  <c r="O21" i="27"/>
  <c r="O19" i="30"/>
  <c r="P107" i="5"/>
  <c r="O24" i="3"/>
  <c r="O27" i="10"/>
  <c r="O23" i="22"/>
  <c r="O22" i="24"/>
  <c r="C61" i="2"/>
  <c r="D93" i="3"/>
  <c r="C99" i="3" s="1"/>
  <c r="C76" i="2"/>
  <c r="F14" i="2"/>
  <c r="E19" i="2" s="1"/>
  <c r="F19" i="2" s="1"/>
  <c r="F17" i="2"/>
  <c r="D94" i="23"/>
  <c r="I12" i="24"/>
  <c r="I13" i="24" s="1"/>
  <c r="F18" i="2"/>
  <c r="J94" i="49"/>
  <c r="J94" i="48"/>
  <c r="J94" i="47"/>
  <c r="I12" i="42"/>
  <c r="I13" i="42" s="1"/>
  <c r="I12" i="49"/>
  <c r="I12" i="48"/>
  <c r="I13" i="48" s="1"/>
  <c r="I12" i="47"/>
  <c r="I13" i="47" s="1"/>
  <c r="B101" i="49"/>
  <c r="B101" i="48"/>
  <c r="O23" i="24"/>
  <c r="O18" i="37"/>
  <c r="O22" i="27"/>
  <c r="O26" i="5"/>
  <c r="J92" i="45"/>
  <c r="J92" i="49"/>
  <c r="J92" i="47"/>
  <c r="J92" i="48"/>
  <c r="O58" i="8"/>
  <c r="O52" i="23"/>
  <c r="O59" i="27"/>
  <c r="O55" i="31"/>
  <c r="O34" i="37"/>
  <c r="O52" i="37"/>
  <c r="O56" i="37"/>
  <c r="I12" i="22"/>
  <c r="I13" i="22" s="1"/>
  <c r="I12" i="23"/>
  <c r="I13" i="23" s="1"/>
  <c r="I12" i="30"/>
  <c r="I13" i="30" s="1"/>
  <c r="I12" i="11"/>
  <c r="I13" i="11" s="1"/>
  <c r="O29" i="5"/>
  <c r="O26" i="37"/>
  <c r="O45" i="40"/>
  <c r="O67" i="45"/>
  <c r="I12" i="31"/>
  <c r="I13" i="31" s="1"/>
  <c r="I12" i="8"/>
  <c r="I13" i="8" s="1"/>
  <c r="I12" i="29"/>
  <c r="I13" i="29" s="1"/>
  <c r="I12" i="27"/>
  <c r="I13" i="27" s="1"/>
  <c r="I12" i="5"/>
  <c r="I13" i="5" s="1"/>
  <c r="I12" i="10"/>
  <c r="I13" i="10" s="1"/>
  <c r="F18" i="1"/>
  <c r="I12" i="39"/>
  <c r="I13" i="39" s="1"/>
  <c r="I12" i="7"/>
  <c r="I13" i="7" s="1"/>
  <c r="I12" i="41"/>
  <c r="I13" i="41" s="1"/>
  <c r="I12" i="9"/>
  <c r="I13" i="9" s="1"/>
  <c r="I12" i="6"/>
  <c r="I13" i="6" s="1"/>
  <c r="I12" i="4"/>
  <c r="I13" i="4" s="1"/>
  <c r="C77" i="1"/>
  <c r="I12" i="40"/>
  <c r="I13" i="40" s="1"/>
  <c r="I12" i="38"/>
  <c r="I13" i="38" s="1"/>
  <c r="I12" i="13"/>
  <c r="I13" i="13" s="1"/>
  <c r="I12" i="28"/>
  <c r="I13" i="28" s="1"/>
  <c r="I12" i="3"/>
  <c r="I13" i="3" s="1"/>
  <c r="I12" i="25"/>
  <c r="I13" i="25" s="1"/>
  <c r="C59" i="1"/>
  <c r="O46" i="23"/>
  <c r="O31" i="9"/>
  <c r="O25" i="27"/>
  <c r="O37" i="27"/>
  <c r="O39" i="27"/>
  <c r="O45" i="27"/>
  <c r="O47" i="27"/>
  <c r="O51" i="27"/>
  <c r="O53" i="27"/>
  <c r="O55" i="27"/>
  <c r="O57" i="27"/>
  <c r="O61" i="27"/>
  <c r="O65" i="27"/>
  <c r="O67" i="27"/>
  <c r="O39" i="28"/>
  <c r="O43" i="22"/>
  <c r="O37" i="22"/>
  <c r="O64" i="29"/>
  <c r="O48" i="5"/>
  <c r="O40" i="5"/>
  <c r="O38" i="5"/>
  <c r="O39" i="6"/>
  <c r="O54" i="13"/>
  <c r="O50" i="13"/>
  <c r="O46" i="13"/>
  <c r="O38" i="38"/>
  <c r="O25" i="44"/>
  <c r="O51" i="45"/>
  <c r="O55" i="45"/>
  <c r="O71" i="45"/>
  <c r="O57" i="44"/>
  <c r="O31" i="39"/>
  <c r="O35" i="39"/>
  <c r="O45" i="39"/>
  <c r="O67" i="39"/>
  <c r="O22" i="37"/>
  <c r="O28" i="37"/>
  <c r="O30" i="37"/>
  <c r="O32" i="37"/>
  <c r="O36" i="37"/>
  <c r="O38" i="37"/>
  <c r="O50" i="37"/>
  <c r="O54" i="37"/>
  <c r="O58" i="37"/>
  <c r="O60" i="37"/>
  <c r="O62" i="37"/>
  <c r="O66" i="37"/>
  <c r="O68" i="37"/>
  <c r="O70" i="37"/>
  <c r="O25" i="31"/>
  <c r="O35" i="31"/>
  <c r="O37" i="31"/>
  <c r="O41" i="31"/>
  <c r="O51" i="31"/>
  <c r="O59" i="31"/>
  <c r="O67" i="31"/>
  <c r="O69" i="31"/>
  <c r="O71" i="31"/>
  <c r="O52" i="30"/>
  <c r="O70" i="23"/>
  <c r="O64" i="23"/>
  <c r="O60" i="23"/>
  <c r="O58" i="23"/>
  <c r="O54" i="23"/>
  <c r="O50" i="23"/>
  <c r="O42" i="23"/>
  <c r="O62" i="8"/>
  <c r="O58" i="9"/>
  <c r="O33" i="23"/>
  <c r="O38" i="9"/>
  <c r="O53" i="28"/>
  <c r="O57" i="28"/>
  <c r="O71" i="28"/>
  <c r="O52" i="29"/>
  <c r="O72" i="31"/>
  <c r="O49" i="42"/>
  <c r="O51" i="42"/>
  <c r="O33" i="27"/>
  <c r="O69" i="44"/>
  <c r="F17" i="1"/>
  <c r="O55" i="7"/>
  <c r="O49" i="7"/>
  <c r="O71" i="13"/>
  <c r="O69" i="13"/>
  <c r="O65" i="13"/>
  <c r="O63" i="13"/>
  <c r="O61" i="13"/>
  <c r="O59" i="13"/>
  <c r="O57" i="13"/>
  <c r="O45" i="13"/>
  <c r="O41" i="13"/>
  <c r="O35" i="13"/>
  <c r="O25" i="13"/>
  <c r="O23" i="13"/>
  <c r="O21" i="13"/>
  <c r="O19" i="13"/>
  <c r="O71" i="22"/>
  <c r="O67" i="22"/>
  <c r="O59" i="22"/>
  <c r="O47" i="22"/>
  <c r="O41" i="22"/>
  <c r="O39" i="22"/>
  <c r="O29" i="22"/>
  <c r="O72" i="25"/>
  <c r="O68" i="25"/>
  <c r="O64" i="25"/>
  <c r="O62" i="25"/>
  <c r="O60" i="25"/>
  <c r="O56" i="25"/>
  <c r="O54" i="25"/>
  <c r="O50" i="25"/>
  <c r="O48" i="25"/>
  <c r="O44" i="25"/>
  <c r="O36" i="25"/>
  <c r="O34" i="25"/>
  <c r="O28" i="25"/>
  <c r="O23" i="30"/>
  <c r="O47" i="30"/>
  <c r="O54" i="40"/>
  <c r="O60" i="40"/>
  <c r="O52" i="44"/>
  <c r="D94" i="5"/>
  <c r="O33" i="44"/>
  <c r="O41" i="44"/>
  <c r="O65" i="44"/>
  <c r="D94" i="6"/>
  <c r="O69" i="11"/>
  <c r="O37" i="11"/>
  <c r="O71" i="24"/>
  <c r="O61" i="24"/>
  <c r="O37" i="24"/>
  <c r="O67" i="29"/>
  <c r="O23" i="31"/>
  <c r="O47" i="31"/>
  <c r="O59" i="45"/>
  <c r="O49" i="44"/>
  <c r="O33" i="41"/>
  <c r="O57" i="41"/>
  <c r="O26" i="40"/>
  <c r="O28" i="40"/>
  <c r="O30" i="40"/>
  <c r="O32" i="40"/>
  <c r="O34" i="40"/>
  <c r="O36" i="40"/>
  <c r="O38" i="40"/>
  <c r="O40" i="40"/>
  <c r="O42" i="40"/>
  <c r="O44" i="40"/>
  <c r="O46" i="40"/>
  <c r="O50" i="40"/>
  <c r="O52" i="40"/>
  <c r="O56" i="40"/>
  <c r="O58" i="40"/>
  <c r="O62" i="40"/>
  <c r="O64" i="40"/>
  <c r="O66" i="40"/>
  <c r="O70" i="40"/>
  <c r="O72" i="40"/>
  <c r="O25" i="39"/>
  <c r="O41" i="39"/>
  <c r="O51" i="39"/>
  <c r="O55" i="39"/>
  <c r="O31" i="38"/>
  <c r="O65" i="38"/>
  <c r="O34" i="29"/>
  <c r="O36" i="29"/>
  <c r="O40" i="29"/>
  <c r="O50" i="29"/>
  <c r="O56" i="29"/>
  <c r="O43" i="27"/>
  <c r="O53" i="9"/>
  <c r="O69" i="7"/>
  <c r="O65" i="7"/>
  <c r="O57" i="7"/>
  <c r="O51" i="7"/>
  <c r="O45" i="7"/>
  <c r="O39" i="7"/>
  <c r="O31" i="7"/>
  <c r="O67" i="6"/>
  <c r="O47" i="6"/>
  <c r="O71" i="4"/>
  <c r="O55" i="4"/>
  <c r="O62" i="3"/>
  <c r="O34" i="3"/>
  <c r="J92" i="25"/>
  <c r="M87" i="25" s="1"/>
  <c r="J92" i="10"/>
  <c r="N87" i="10" s="1"/>
  <c r="J92" i="42"/>
  <c r="L86" i="42" s="1"/>
  <c r="J92" i="30"/>
  <c r="L86" i="30" s="1"/>
  <c r="J92" i="40"/>
  <c r="L86" i="40" s="1"/>
  <c r="M19" i="2"/>
  <c r="J92" i="8"/>
  <c r="L86" i="8" s="1"/>
  <c r="J92" i="24"/>
  <c r="L86" i="24" s="1"/>
  <c r="J92" i="7"/>
  <c r="L86" i="7" s="1"/>
  <c r="J92" i="4"/>
  <c r="L86" i="4" s="1"/>
  <c r="J92" i="3"/>
  <c r="M87" i="3" s="1"/>
  <c r="J92" i="31"/>
  <c r="L86" i="31" s="1"/>
  <c r="J92" i="5"/>
  <c r="L86" i="5" s="1"/>
  <c r="J92" i="11"/>
  <c r="M87" i="11" s="1"/>
  <c r="J92" i="29"/>
  <c r="L86" i="29" s="1"/>
  <c r="J92" i="27"/>
  <c r="L86" i="27" s="1"/>
  <c r="J92" i="44"/>
  <c r="N87" i="44" s="1"/>
  <c r="J92" i="37"/>
  <c r="L86" i="37" s="1"/>
  <c r="J92" i="28"/>
  <c r="M87" i="28" s="1"/>
  <c r="J92" i="13"/>
  <c r="L86" i="13" s="1"/>
  <c r="J92" i="43"/>
  <c r="N87" i="43" s="1"/>
  <c r="J92" i="9"/>
  <c r="N87" i="9" s="1"/>
  <c r="J92" i="23"/>
  <c r="L86" i="23" s="1"/>
  <c r="A4" i="2"/>
  <c r="J92" i="6"/>
  <c r="L86" i="6" s="1"/>
  <c r="J92" i="38"/>
  <c r="L86" i="38" s="1"/>
  <c r="J92" i="22"/>
  <c r="M87" i="22" s="1"/>
  <c r="J92" i="39"/>
  <c r="N87" i="39" s="1"/>
  <c r="O26" i="46"/>
  <c r="O28" i="46"/>
  <c r="O30" i="46"/>
  <c r="O32" i="46"/>
  <c r="O46" i="46"/>
  <c r="O58" i="46"/>
  <c r="O62" i="46"/>
  <c r="O34" i="46"/>
  <c r="O35" i="46"/>
  <c r="O43" i="46"/>
  <c r="O51" i="46"/>
  <c r="O69" i="46"/>
  <c r="C45" i="46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P56" i="17"/>
  <c r="O17" i="46"/>
  <c r="O33" i="46"/>
  <c r="O39" i="46"/>
  <c r="O41" i="46"/>
  <c r="O49" i="46"/>
  <c r="O57" i="46"/>
  <c r="O65" i="46"/>
  <c r="O71" i="46"/>
  <c r="O55" i="41"/>
  <c r="O20" i="39"/>
  <c r="O26" i="39"/>
  <c r="O32" i="39"/>
  <c r="O34" i="39"/>
  <c r="O38" i="39"/>
  <c r="O40" i="39"/>
  <c r="O44" i="39"/>
  <c r="O56" i="39"/>
  <c r="O58" i="39"/>
  <c r="O60" i="39"/>
  <c r="O64" i="39"/>
  <c r="O72" i="39"/>
  <c r="O28" i="43"/>
  <c r="O44" i="43"/>
  <c r="O17" i="41"/>
  <c r="O48" i="39"/>
  <c r="O21" i="28"/>
  <c r="O23" i="28"/>
  <c r="O25" i="28"/>
  <c r="O29" i="28"/>
  <c r="O31" i="28"/>
  <c r="O35" i="28"/>
  <c r="O45" i="28"/>
  <c r="O47" i="28"/>
  <c r="O59" i="28"/>
  <c r="O61" i="28"/>
  <c r="O65" i="28"/>
  <c r="O67" i="28"/>
  <c r="O71" i="25"/>
  <c r="O65" i="25"/>
  <c r="O63" i="25"/>
  <c r="O57" i="25"/>
  <c r="O55" i="25"/>
  <c r="O53" i="25"/>
  <c r="O51" i="25"/>
  <c r="O71" i="23"/>
  <c r="O69" i="23"/>
  <c r="O65" i="23"/>
  <c r="O63" i="23"/>
  <c r="O61" i="23"/>
  <c r="O59" i="23"/>
  <c r="O57" i="23"/>
  <c r="O55" i="23"/>
  <c r="O47" i="23"/>
  <c r="O43" i="23"/>
  <c r="O37" i="23"/>
  <c r="O28" i="11"/>
  <c r="O29" i="10"/>
  <c r="O28" i="9"/>
  <c r="O44" i="4"/>
  <c r="O26" i="3"/>
  <c r="P154" i="6"/>
  <c r="P150" i="6"/>
  <c r="P146" i="6"/>
  <c r="P144" i="6"/>
  <c r="P138" i="6"/>
  <c r="P136" i="6"/>
  <c r="P134" i="6"/>
  <c r="P132" i="6"/>
  <c r="P122" i="6"/>
  <c r="P116" i="6"/>
  <c r="O31" i="45"/>
  <c r="O33" i="45"/>
  <c r="O41" i="45"/>
  <c r="B18" i="44"/>
  <c r="O17" i="42"/>
  <c r="O21" i="42"/>
  <c r="O45" i="42"/>
  <c r="O60" i="43"/>
  <c r="O18" i="43"/>
  <c r="O26" i="43"/>
  <c r="O32" i="43"/>
  <c r="O36" i="43"/>
  <c r="O38" i="43"/>
  <c r="O48" i="43"/>
  <c r="O52" i="43"/>
  <c r="O54" i="43"/>
  <c r="O64" i="43"/>
  <c r="O68" i="43"/>
  <c r="O20" i="43"/>
  <c r="O40" i="43"/>
  <c r="O56" i="43"/>
  <c r="O70" i="43"/>
  <c r="O72" i="43"/>
  <c r="O37" i="42"/>
  <c r="O43" i="42"/>
  <c r="O53" i="42"/>
  <c r="O55" i="42"/>
  <c r="O59" i="42"/>
  <c r="O61" i="42"/>
  <c r="O21" i="41"/>
  <c r="O25" i="41"/>
  <c r="O27" i="41"/>
  <c r="O29" i="41"/>
  <c r="O31" i="41"/>
  <c r="O35" i="41"/>
  <c r="O45" i="41"/>
  <c r="O47" i="41"/>
  <c r="O59" i="41"/>
  <c r="O61" i="41"/>
  <c r="O63" i="41"/>
  <c r="O65" i="41"/>
  <c r="O67" i="41"/>
  <c r="O71" i="41"/>
  <c r="O19" i="38"/>
  <c r="O21" i="38"/>
  <c r="O29" i="38"/>
  <c r="O35" i="38"/>
  <c r="O39" i="38"/>
  <c r="O59" i="38"/>
  <c r="O61" i="38"/>
  <c r="O63" i="38"/>
  <c r="O67" i="38"/>
  <c r="O69" i="38"/>
  <c r="O71" i="38"/>
  <c r="O31" i="31"/>
  <c r="O33" i="31"/>
  <c r="O39" i="31"/>
  <c r="O43" i="31"/>
  <c r="O45" i="31"/>
  <c r="O49" i="28"/>
  <c r="O69" i="28"/>
  <c r="O72" i="28"/>
  <c r="O49" i="27"/>
  <c r="O67" i="24"/>
  <c r="O65" i="24"/>
  <c r="O63" i="24"/>
  <c r="O55" i="24"/>
  <c r="O53" i="24"/>
  <c r="O47" i="24"/>
  <c r="O35" i="24"/>
  <c r="O33" i="24"/>
  <c r="O27" i="24"/>
  <c r="O25" i="24"/>
  <c r="O41" i="23"/>
  <c r="O39" i="23"/>
  <c r="O35" i="23"/>
  <c r="O27" i="23"/>
  <c r="O67" i="11"/>
  <c r="O63" i="9"/>
  <c r="O61" i="9"/>
  <c r="O57" i="9"/>
  <c r="O51" i="9"/>
  <c r="O47" i="9"/>
  <c r="O72" i="8"/>
  <c r="O70" i="8"/>
  <c r="O68" i="8"/>
  <c r="O66" i="8"/>
  <c r="O60" i="8"/>
  <c r="O56" i="8"/>
  <c r="O54" i="8"/>
  <c r="O52" i="8"/>
  <c r="O50" i="8"/>
  <c r="O39" i="8"/>
  <c r="O57" i="6"/>
  <c r="O55" i="6"/>
  <c r="O51" i="6"/>
  <c r="O49" i="6"/>
  <c r="O45" i="6"/>
  <c r="O72" i="10"/>
  <c r="O66" i="10"/>
  <c r="O62" i="10"/>
  <c r="O60" i="10"/>
  <c r="O58" i="10"/>
  <c r="O56" i="10"/>
  <c r="O52" i="10"/>
  <c r="O46" i="10"/>
  <c r="O40" i="10"/>
  <c r="O38" i="10"/>
  <c r="O32" i="10"/>
  <c r="O67" i="9"/>
  <c r="O65" i="9"/>
  <c r="O59" i="9"/>
  <c r="O49" i="9"/>
  <c r="O48" i="8"/>
  <c r="O67" i="7"/>
  <c r="O59" i="7"/>
  <c r="O53" i="7"/>
  <c r="O35" i="6"/>
  <c r="O31" i="6"/>
  <c r="O71" i="6"/>
  <c r="O65" i="6"/>
  <c r="O53" i="6"/>
  <c r="O68" i="3"/>
  <c r="O66" i="3"/>
  <c r="P130" i="45"/>
  <c r="P111" i="43"/>
  <c r="P115" i="43"/>
  <c r="P121" i="43"/>
  <c r="P112" i="29"/>
  <c r="P124" i="10"/>
  <c r="P123" i="5"/>
  <c r="P153" i="5"/>
  <c r="P147" i="5"/>
  <c r="P145" i="5"/>
  <c r="P139" i="5"/>
  <c r="P131" i="5"/>
  <c r="P113" i="5"/>
  <c r="D94" i="4"/>
  <c r="D94" i="25"/>
  <c r="P129" i="4"/>
  <c r="C82" i="2"/>
  <c r="C59" i="2"/>
  <c r="C14" i="2"/>
  <c r="C39" i="2"/>
  <c r="C77" i="2"/>
  <c r="C80" i="2"/>
  <c r="C28" i="2"/>
  <c r="C62" i="2"/>
  <c r="C10" i="2"/>
  <c r="C56" i="2"/>
  <c r="C8" i="2"/>
  <c r="C55" i="2"/>
  <c r="C73" i="2"/>
  <c r="C50" i="2"/>
  <c r="C22" i="2"/>
  <c r="P107" i="38"/>
  <c r="O45" i="3"/>
  <c r="O51" i="29"/>
  <c r="O69" i="29"/>
  <c r="O71" i="29"/>
  <c r="O58" i="30"/>
  <c r="O52" i="31"/>
  <c r="O20" i="38"/>
  <c r="O63" i="11"/>
  <c r="O57" i="11"/>
  <c r="O62" i="13"/>
  <c r="O44" i="6"/>
  <c r="O42" i="6"/>
  <c r="O40" i="6"/>
  <c r="O38" i="6"/>
  <c r="O36" i="6"/>
  <c r="O30" i="6"/>
  <c r="O49" i="25"/>
  <c r="O47" i="25"/>
  <c r="O45" i="25"/>
  <c r="O43" i="25"/>
  <c r="O54" i="46"/>
  <c r="O64" i="3"/>
  <c r="O60" i="3"/>
  <c r="O50" i="3"/>
  <c r="O46" i="3"/>
  <c r="O44" i="5"/>
  <c r="O41" i="7"/>
  <c r="O37" i="7"/>
  <c r="O45" i="9"/>
  <c r="O43" i="9"/>
  <c r="O41" i="9"/>
  <c r="O37" i="9"/>
  <c r="O40" i="37"/>
  <c r="O25" i="46"/>
  <c r="O37" i="5"/>
  <c r="O48" i="7"/>
  <c r="O32" i="7"/>
  <c r="O64" i="7"/>
  <c r="O68" i="9"/>
  <c r="O62" i="9"/>
  <c r="O56" i="9"/>
  <c r="O42" i="9"/>
  <c r="O30" i="9"/>
  <c r="O36" i="23"/>
  <c r="O34" i="23"/>
  <c r="O32" i="23"/>
  <c r="O39" i="25"/>
  <c r="O37" i="25"/>
  <c r="O33" i="25"/>
  <c r="O29" i="25"/>
  <c r="O24" i="27"/>
  <c r="O26" i="27"/>
  <c r="O30" i="27"/>
  <c r="O32" i="27"/>
  <c r="O34" i="27"/>
  <c r="O36" i="27"/>
  <c r="O38" i="27"/>
  <c r="O40" i="27"/>
  <c r="O42" i="27"/>
  <c r="O44" i="27"/>
  <c r="O46" i="27"/>
  <c r="O52" i="27"/>
  <c r="O54" i="27"/>
  <c r="O56" i="27"/>
  <c r="O58" i="27"/>
  <c r="O60" i="27"/>
  <c r="O62" i="27"/>
  <c r="O64" i="27"/>
  <c r="O66" i="27"/>
  <c r="O68" i="27"/>
  <c r="O70" i="27"/>
  <c r="O72" i="27"/>
  <c r="O19" i="37"/>
  <c r="O21" i="37"/>
  <c r="O27" i="37"/>
  <c r="O33" i="37"/>
  <c r="O37" i="37"/>
  <c r="O41" i="37"/>
  <c r="O43" i="37"/>
  <c r="O45" i="37"/>
  <c r="O47" i="37"/>
  <c r="O49" i="37"/>
  <c r="O51" i="37"/>
  <c r="O53" i="37"/>
  <c r="O55" i="37"/>
  <c r="O57" i="37"/>
  <c r="O63" i="37"/>
  <c r="O65" i="37"/>
  <c r="O67" i="37"/>
  <c r="O69" i="37"/>
  <c r="O71" i="37"/>
  <c r="O22" i="38"/>
  <c r="O26" i="38"/>
  <c r="O30" i="38"/>
  <c r="O44" i="38"/>
  <c r="O54" i="38"/>
  <c r="O58" i="38"/>
  <c r="O60" i="38"/>
  <c r="O72" i="38"/>
  <c r="O69" i="41"/>
  <c r="O42" i="3"/>
  <c r="O38" i="3"/>
  <c r="O42" i="5"/>
  <c r="O30" i="5"/>
  <c r="O33" i="7"/>
  <c r="O72" i="11"/>
  <c r="O59" i="10"/>
  <c r="O55" i="10"/>
  <c r="O39" i="10"/>
  <c r="O69" i="22"/>
  <c r="O65" i="22"/>
  <c r="O55" i="22"/>
  <c r="O27" i="22"/>
  <c r="O72" i="23"/>
  <c r="O68" i="23"/>
  <c r="O66" i="23"/>
  <c r="O62" i="23"/>
  <c r="O40" i="23"/>
  <c r="O38" i="23"/>
  <c r="O58" i="25"/>
  <c r="O52" i="25"/>
  <c r="O42" i="25"/>
  <c r="O40" i="25"/>
  <c r="O38" i="25"/>
  <c r="O26" i="25"/>
  <c r="O39" i="30"/>
  <c r="O45" i="30"/>
  <c r="O49" i="30"/>
  <c r="O61" i="30"/>
  <c r="O65" i="30"/>
  <c r="O67" i="30"/>
  <c r="O65" i="40"/>
  <c r="O49" i="45"/>
  <c r="O19" i="43"/>
  <c r="O39" i="43"/>
  <c r="O45" i="43"/>
  <c r="O71" i="43"/>
  <c r="O20" i="42"/>
  <c r="O26" i="42"/>
  <c r="O28" i="42"/>
  <c r="O32" i="42"/>
  <c r="O36" i="42"/>
  <c r="O38" i="42"/>
  <c r="O40" i="42"/>
  <c r="O42" i="42"/>
  <c r="O44" i="42"/>
  <c r="O46" i="42"/>
  <c r="O48" i="42"/>
  <c r="O60" i="42"/>
  <c r="O64" i="42"/>
  <c r="O66" i="42"/>
  <c r="O72" i="42"/>
  <c r="O58" i="42"/>
  <c r="O68" i="42"/>
  <c r="O31" i="42"/>
  <c r="O33" i="42"/>
  <c r="O35" i="42"/>
  <c r="O57" i="42"/>
  <c r="O63" i="42"/>
  <c r="O71" i="42"/>
  <c r="O28" i="41"/>
  <c r="O38" i="41"/>
  <c r="O44" i="41"/>
  <c r="O46" i="41"/>
  <c r="O50" i="41"/>
  <c r="O56" i="41"/>
  <c r="O58" i="41"/>
  <c r="O64" i="41"/>
  <c r="O68" i="41"/>
  <c r="O70" i="41"/>
  <c r="O72" i="41"/>
  <c r="O19" i="40"/>
  <c r="O21" i="40"/>
  <c r="O25" i="40"/>
  <c r="O27" i="40"/>
  <c r="O29" i="40"/>
  <c r="O31" i="40"/>
  <c r="O33" i="40"/>
  <c r="O35" i="40"/>
  <c r="O37" i="40"/>
  <c r="O39" i="40"/>
  <c r="O41" i="40"/>
  <c r="O43" i="40"/>
  <c r="O47" i="40"/>
  <c r="O49" i="40"/>
  <c r="O51" i="40"/>
  <c r="O53" i="40"/>
  <c r="O57" i="40"/>
  <c r="O59" i="40"/>
  <c r="O61" i="40"/>
  <c r="O63" i="40"/>
  <c r="O67" i="40"/>
  <c r="O69" i="40"/>
  <c r="O71" i="40"/>
  <c r="O41" i="30"/>
  <c r="O43" i="30"/>
  <c r="O51" i="30"/>
  <c r="O53" i="30"/>
  <c r="O57" i="30"/>
  <c r="O59" i="30"/>
  <c r="O63" i="30"/>
  <c r="O69" i="30"/>
  <c r="L20" i="30"/>
  <c r="O20" i="30" s="1"/>
  <c r="O69" i="24"/>
  <c r="O59" i="24"/>
  <c r="O49" i="24"/>
  <c r="O41" i="24"/>
  <c r="O72" i="24"/>
  <c r="O70" i="24"/>
  <c r="O64" i="24"/>
  <c r="O62" i="24"/>
  <c r="O60" i="24"/>
  <c r="O54" i="24"/>
  <c r="O52" i="24"/>
  <c r="O50" i="24"/>
  <c r="O46" i="24"/>
  <c r="O44" i="24"/>
  <c r="O42" i="24"/>
  <c r="O40" i="24"/>
  <c r="O38" i="24"/>
  <c r="O36" i="24"/>
  <c r="O34" i="24"/>
  <c r="O30" i="24"/>
  <c r="O26" i="24"/>
  <c r="O24" i="23"/>
  <c r="O72" i="22"/>
  <c r="O70" i="22"/>
  <c r="O68" i="22"/>
  <c r="O66" i="22"/>
  <c r="O64" i="22"/>
  <c r="O62" i="22"/>
  <c r="O54" i="22"/>
  <c r="O44" i="22"/>
  <c r="O42" i="22"/>
  <c r="O40" i="22"/>
  <c r="O38" i="22"/>
  <c r="O36" i="22"/>
  <c r="O70" i="11"/>
  <c r="O64" i="11"/>
  <c r="O62" i="11"/>
  <c r="O60" i="11"/>
  <c r="O58" i="11"/>
  <c r="O56" i="11"/>
  <c r="O54" i="11"/>
  <c r="O50" i="11"/>
  <c r="O40" i="11"/>
  <c r="O38" i="11"/>
  <c r="O36" i="11"/>
  <c r="O30" i="11"/>
  <c r="O71" i="10"/>
  <c r="O69" i="10"/>
  <c r="O47" i="10"/>
  <c r="O45" i="10"/>
  <c r="O37" i="10"/>
  <c r="O31" i="10"/>
  <c r="O71" i="8"/>
  <c r="O63" i="8"/>
  <c r="O57" i="8"/>
  <c r="O53" i="8"/>
  <c r="O51" i="8"/>
  <c r="O49" i="8"/>
  <c r="O44" i="8"/>
  <c r="O40" i="8"/>
  <c r="O64" i="8"/>
  <c r="O43" i="8"/>
  <c r="O29" i="7"/>
  <c r="O40" i="7"/>
  <c r="O70" i="6"/>
  <c r="O26" i="4"/>
  <c r="O72" i="3"/>
  <c r="O58" i="3"/>
  <c r="O48" i="3"/>
  <c r="O36" i="3"/>
  <c r="O69" i="6"/>
  <c r="O55" i="9"/>
  <c r="O64" i="4"/>
  <c r="O62" i="4"/>
  <c r="O60" i="4"/>
  <c r="O58" i="4"/>
  <c r="O56" i="4"/>
  <c r="O54" i="4"/>
  <c r="O52" i="4"/>
  <c r="O50" i="4"/>
  <c r="O48" i="4"/>
  <c r="O46" i="4"/>
  <c r="O42" i="4"/>
  <c r="O40" i="4"/>
  <c r="O38" i="4"/>
  <c r="O36" i="4"/>
  <c r="O34" i="4"/>
  <c r="O30" i="4"/>
  <c r="O67" i="10"/>
  <c r="O65" i="10"/>
  <c r="O63" i="10"/>
  <c r="O61" i="10"/>
  <c r="O53" i="10"/>
  <c r="O49" i="10"/>
  <c r="O61" i="11"/>
  <c r="O51" i="11"/>
  <c r="O49" i="11"/>
  <c r="O41" i="11"/>
  <c r="O39" i="11"/>
  <c r="O70" i="13"/>
  <c r="O68" i="13"/>
  <c r="O66" i="13"/>
  <c r="O64" i="13"/>
  <c r="O60" i="13"/>
  <c r="O58" i="13"/>
  <c r="O56" i="13"/>
  <c r="O52" i="13"/>
  <c r="O48" i="13"/>
  <c r="O42" i="13"/>
  <c r="O36" i="13"/>
  <c r="O34" i="13"/>
  <c r="O28" i="13"/>
  <c r="O26" i="13"/>
  <c r="O22" i="13"/>
  <c r="O20" i="13"/>
  <c r="O19" i="42"/>
  <c r="O71" i="3"/>
  <c r="O69" i="3"/>
  <c r="O67" i="3"/>
  <c r="O61" i="3"/>
  <c r="O57" i="3"/>
  <c r="O55" i="3"/>
  <c r="O53" i="3"/>
  <c r="O51" i="3"/>
  <c r="O47" i="3"/>
  <c r="O43" i="3"/>
  <c r="O41" i="3"/>
  <c r="O39" i="3"/>
  <c r="O37" i="3"/>
  <c r="O33" i="28"/>
  <c r="O63" i="28"/>
  <c r="O24" i="29"/>
  <c r="O42" i="29"/>
  <c r="O46" i="29"/>
  <c r="O48" i="29"/>
  <c r="O54" i="29"/>
  <c r="O58" i="29"/>
  <c r="O60" i="29"/>
  <c r="O62" i="29"/>
  <c r="O66" i="29"/>
  <c r="O70" i="29"/>
  <c r="O21" i="30"/>
  <c r="O29" i="30"/>
  <c r="O31" i="30"/>
  <c r="O33" i="30"/>
  <c r="O35" i="30"/>
  <c r="O37" i="30"/>
  <c r="O47" i="45"/>
  <c r="O68" i="6"/>
  <c r="O66" i="6"/>
  <c r="O36" i="28"/>
  <c r="O40" i="28"/>
  <c r="O24" i="30"/>
  <c r="O32" i="30"/>
  <c r="O40" i="30"/>
  <c r="O42" i="30"/>
  <c r="O50" i="30"/>
  <c r="O54" i="30"/>
  <c r="O56" i="30"/>
  <c r="O60" i="30"/>
  <c r="O62" i="30"/>
  <c r="O64" i="30"/>
  <c r="O66" i="30"/>
  <c r="O70" i="30"/>
  <c r="O22" i="31"/>
  <c r="O24" i="31"/>
  <c r="O30" i="31"/>
  <c r="O42" i="31"/>
  <c r="O44" i="31"/>
  <c r="O48" i="31"/>
  <c r="O50" i="31"/>
  <c r="O54" i="31"/>
  <c r="O64" i="31"/>
  <c r="O66" i="31"/>
  <c r="O68" i="31"/>
  <c r="O21" i="43"/>
  <c r="O29" i="43"/>
  <c r="O31" i="43"/>
  <c r="O37" i="43"/>
  <c r="O47" i="43"/>
  <c r="O53" i="43"/>
  <c r="O55" i="43"/>
  <c r="O61" i="43"/>
  <c r="O63" i="43"/>
  <c r="O69" i="43"/>
  <c r="O20" i="44"/>
  <c r="O43" i="6"/>
  <c r="C10" i="1"/>
  <c r="C28" i="1"/>
  <c r="C61" i="1"/>
  <c r="C79" i="1"/>
  <c r="C73" i="1"/>
  <c r="C55" i="1"/>
  <c r="C8" i="1"/>
  <c r="C62" i="1"/>
  <c r="F14" i="1"/>
  <c r="E19" i="1" s="1"/>
  <c r="F19" i="1" s="1"/>
  <c r="C82" i="1"/>
  <c r="C76" i="1"/>
  <c r="C39" i="1"/>
  <c r="C50" i="1"/>
  <c r="C22" i="1"/>
  <c r="C56" i="1"/>
  <c r="C14" i="1"/>
  <c r="O24" i="28"/>
  <c r="O30" i="28"/>
  <c r="O34" i="28"/>
  <c r="O38" i="28"/>
  <c r="O42" i="28"/>
  <c r="O52" i="28"/>
  <c r="O54" i="28"/>
  <c r="O58" i="28"/>
  <c r="O60" i="28"/>
  <c r="O62" i="28"/>
  <c r="O64" i="28"/>
  <c r="O66" i="28"/>
  <c r="O68" i="28"/>
  <c r="O70" i="28"/>
  <c r="O23" i="29"/>
  <c r="O33" i="29"/>
  <c r="O35" i="29"/>
  <c r="O37" i="29"/>
  <c r="O39" i="29"/>
  <c r="O41" i="29"/>
  <c r="O43" i="29"/>
  <c r="O45" i="29"/>
  <c r="O47" i="29"/>
  <c r="O49" i="29"/>
  <c r="O53" i="29"/>
  <c r="O57" i="29"/>
  <c r="O59" i="29"/>
  <c r="O61" i="29"/>
  <c r="O63" i="29"/>
  <c r="O65" i="29"/>
  <c r="O30" i="30"/>
  <c r="O68" i="30"/>
  <c r="O32" i="31"/>
  <c r="O36" i="31"/>
  <c r="O56" i="31"/>
  <c r="O60" i="31"/>
  <c r="O62" i="31"/>
  <c r="O70" i="31"/>
  <c r="O28" i="38"/>
  <c r="O32" i="38"/>
  <c r="O34" i="38"/>
  <c r="O40" i="38"/>
  <c r="O52" i="39"/>
  <c r="O68" i="39"/>
  <c r="O70" i="39"/>
  <c r="O41" i="43"/>
  <c r="O49" i="43"/>
  <c r="O51" i="43"/>
  <c r="O34" i="44"/>
  <c r="O62" i="44"/>
  <c r="O68" i="44"/>
  <c r="O72" i="44"/>
  <c r="O28" i="45"/>
  <c r="O44" i="45"/>
  <c r="O58" i="45"/>
  <c r="O60" i="45"/>
  <c r="O72" i="45"/>
  <c r="P153" i="4"/>
  <c r="P131" i="4"/>
  <c r="P121" i="4"/>
  <c r="P119" i="4"/>
  <c r="P117" i="4"/>
  <c r="O72" i="6"/>
  <c r="O18" i="13"/>
  <c r="O63" i="27"/>
  <c r="O65" i="4"/>
  <c r="O63" i="4"/>
  <c r="O61" i="4"/>
  <c r="O59" i="4"/>
  <c r="O57" i="4"/>
  <c r="O53" i="4"/>
  <c r="O51" i="4"/>
  <c r="O64" i="6"/>
  <c r="O56" i="6"/>
  <c r="O54" i="6"/>
  <c r="O52" i="6"/>
  <c r="O50" i="6"/>
  <c r="O48" i="6"/>
  <c r="O46" i="6"/>
  <c r="O68" i="7"/>
  <c r="O54" i="7"/>
  <c r="O52" i="7"/>
  <c r="O50" i="7"/>
  <c r="O46" i="7"/>
  <c r="O44" i="7"/>
  <c r="O42" i="7"/>
  <c r="O38" i="7"/>
  <c r="O69" i="8"/>
  <c r="O65" i="8"/>
  <c r="O61" i="8"/>
  <c r="O59" i="8"/>
  <c r="O55" i="8"/>
  <c r="O38" i="8"/>
  <c r="O36" i="8"/>
  <c r="O30" i="8"/>
  <c r="O70" i="9"/>
  <c r="O66" i="9"/>
  <c r="O64" i="9"/>
  <c r="O60" i="9"/>
  <c r="O52" i="9"/>
  <c r="O46" i="9"/>
  <c r="O44" i="9"/>
  <c r="O40" i="9"/>
  <c r="O36" i="9"/>
  <c r="O32" i="9"/>
  <c r="O49" i="31"/>
  <c r="O53" i="31"/>
  <c r="O57" i="31"/>
  <c r="O61" i="31"/>
  <c r="O63" i="31"/>
  <c r="O65" i="31"/>
  <c r="O33" i="39"/>
  <c r="O37" i="39"/>
  <c r="O39" i="39"/>
  <c r="O43" i="39"/>
  <c r="O53" i="39"/>
  <c r="O57" i="39"/>
  <c r="O59" i="39"/>
  <c r="O61" i="39"/>
  <c r="O63" i="39"/>
  <c r="O69" i="39"/>
  <c r="O71" i="39"/>
  <c r="P121" i="41"/>
  <c r="P125" i="42"/>
  <c r="O53" i="44"/>
  <c r="O25" i="45"/>
  <c r="O55" i="46"/>
  <c r="O59" i="46"/>
  <c r="O26" i="41"/>
  <c r="O30" i="41"/>
  <c r="O40" i="41"/>
  <c r="O48" i="41"/>
  <c r="O50" i="42"/>
  <c r="O56" i="24"/>
  <c r="O61" i="25"/>
  <c r="O35" i="45"/>
  <c r="O37" i="45"/>
  <c r="O28" i="4"/>
  <c r="O44" i="44"/>
  <c r="O35" i="3"/>
  <c r="O29" i="3"/>
  <c r="O52" i="3"/>
  <c r="O33" i="10"/>
  <c r="O51" i="22"/>
  <c r="O46" i="38"/>
  <c r="O50" i="38"/>
  <c r="O62" i="38"/>
  <c r="O68" i="38"/>
  <c r="O70" i="38"/>
  <c r="O25" i="42"/>
  <c r="O39" i="42"/>
  <c r="O65" i="42"/>
  <c r="O67" i="42"/>
  <c r="O18" i="46"/>
  <c r="O39" i="4"/>
  <c r="O72" i="37"/>
  <c r="O62" i="43"/>
  <c r="O37" i="44"/>
  <c r="O61" i="44"/>
  <c r="O19" i="45"/>
  <c r="O62" i="45"/>
  <c r="O38" i="46"/>
  <c r="O56" i="46"/>
  <c r="O63" i="3"/>
  <c r="O70" i="4"/>
  <c r="O66" i="4"/>
  <c r="O50" i="10"/>
  <c r="O55" i="13"/>
  <c r="O53" i="13"/>
  <c r="O51" i="13"/>
  <c r="O49" i="13"/>
  <c r="O47" i="13"/>
  <c r="O33" i="13"/>
  <c r="O31" i="13"/>
  <c r="O39" i="24"/>
  <c r="O45" i="38"/>
  <c r="O53" i="38"/>
  <c r="O68" i="46"/>
  <c r="O49" i="39"/>
  <c r="O43" i="43"/>
  <c r="O48" i="44"/>
  <c r="O54" i="44"/>
  <c r="O29" i="46"/>
  <c r="O72" i="46"/>
  <c r="D93" i="10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O67" i="4"/>
  <c r="O72" i="7"/>
  <c r="O70" i="7"/>
  <c r="O41" i="8"/>
  <c r="O37" i="8"/>
  <c r="O53" i="22"/>
  <c r="O38" i="31"/>
  <c r="O27" i="38"/>
  <c r="O52" i="38"/>
  <c r="O53" i="46"/>
  <c r="F48" i="1"/>
  <c r="F52" i="1" s="1"/>
  <c r="O30" i="3"/>
  <c r="O36" i="5"/>
  <c r="O59" i="11"/>
  <c r="O35" i="22"/>
  <c r="O53" i="23"/>
  <c r="O51" i="23"/>
  <c r="O45" i="23"/>
  <c r="O51" i="24"/>
  <c r="O48" i="24"/>
  <c r="O32" i="24"/>
  <c r="O69" i="25"/>
  <c r="O37" i="28"/>
  <c r="O41" i="28"/>
  <c r="O55" i="28"/>
  <c r="O29" i="29"/>
  <c r="O31" i="29"/>
  <c r="O43" i="38"/>
  <c r="O22" i="39"/>
  <c r="O28" i="39"/>
  <c r="O30" i="39"/>
  <c r="O36" i="39"/>
  <c r="O54" i="42"/>
  <c r="O36" i="44"/>
  <c r="O56" i="44"/>
  <c r="O58" i="44"/>
  <c r="O27" i="45"/>
  <c r="O29" i="45"/>
  <c r="O36" i="45"/>
  <c r="O52" i="45"/>
  <c r="O63" i="45"/>
  <c r="O19" i="46"/>
  <c r="O42" i="46"/>
  <c r="O44" i="46"/>
  <c r="O52" i="46"/>
  <c r="O60" i="46"/>
  <c r="O64" i="46"/>
  <c r="O70" i="46"/>
  <c r="O56" i="3"/>
  <c r="O72" i="4"/>
  <c r="O68" i="4"/>
  <c r="O47" i="4"/>
  <c r="O43" i="4"/>
  <c r="O41" i="4"/>
  <c r="O37" i="4"/>
  <c r="O41" i="5"/>
  <c r="O39" i="5"/>
  <c r="O71" i="7"/>
  <c r="O68" i="10"/>
  <c r="O40" i="13"/>
  <c r="O38" i="13"/>
  <c r="O60" i="22"/>
  <c r="O58" i="22"/>
  <c r="O56" i="22"/>
  <c r="O52" i="22"/>
  <c r="O50" i="22"/>
  <c r="O48" i="22"/>
  <c r="O46" i="22"/>
  <c r="O34" i="22"/>
  <c r="O47" i="38"/>
  <c r="O19" i="41"/>
  <c r="O34" i="41"/>
  <c r="O36" i="41"/>
  <c r="O52" i="41"/>
  <c r="O17" i="43"/>
  <c r="O25" i="43"/>
  <c r="O27" i="43"/>
  <c r="O35" i="43"/>
  <c r="O19" i="44"/>
  <c r="O66" i="46"/>
  <c r="O63" i="6"/>
  <c r="O42" i="8"/>
  <c r="O48" i="11"/>
  <c r="O44" i="11"/>
  <c r="O43" i="13"/>
  <c r="O29" i="13"/>
  <c r="O31" i="24"/>
  <c r="O70" i="25"/>
  <c r="O66" i="25"/>
  <c r="O41" i="27"/>
  <c r="O32" i="28"/>
  <c r="O44" i="28"/>
  <c r="O46" i="28"/>
  <c r="O48" i="28"/>
  <c r="O25" i="29"/>
  <c r="O22" i="30"/>
  <c r="O28" i="30"/>
  <c r="O21" i="39"/>
  <c r="O42" i="39"/>
  <c r="O46" i="39"/>
  <c r="O50" i="39"/>
  <c r="O62" i="39"/>
  <c r="O18" i="41"/>
  <c r="O20" i="41"/>
  <c r="O37" i="41"/>
  <c r="O51" i="41"/>
  <c r="O53" i="41"/>
  <c r="O34" i="42"/>
  <c r="O34" i="43"/>
  <c r="O30" i="44"/>
  <c r="O20" i="45"/>
  <c r="O39" i="45"/>
  <c r="O43" i="45"/>
  <c r="O45" i="45"/>
  <c r="O57" i="45"/>
  <c r="O64" i="45"/>
  <c r="O66" i="45"/>
  <c r="O68" i="45"/>
  <c r="O70" i="45"/>
  <c r="O24" i="46"/>
  <c r="O45" i="46"/>
  <c r="O47" i="46"/>
  <c r="O61" i="46"/>
  <c r="O67" i="46"/>
  <c r="O35" i="8"/>
  <c r="O54" i="3"/>
  <c r="O47" i="5"/>
  <c r="D94" i="37"/>
  <c r="D92" i="37"/>
  <c r="B100" i="37" s="1"/>
  <c r="O70" i="3"/>
  <c r="O44" i="3"/>
  <c r="O40" i="3"/>
  <c r="O45" i="4"/>
  <c r="O35" i="4"/>
  <c r="O46" i="5"/>
  <c r="O35" i="5"/>
  <c r="O62" i="6"/>
  <c r="O60" i="6"/>
  <c r="O58" i="6"/>
  <c r="O66" i="7"/>
  <c r="O62" i="7"/>
  <c r="O60" i="7"/>
  <c r="O58" i="7"/>
  <c r="O56" i="7"/>
  <c r="O43" i="7"/>
  <c r="O67" i="8"/>
  <c r="O47" i="8"/>
  <c r="O72" i="9"/>
  <c r="O50" i="9"/>
  <c r="O48" i="9"/>
  <c r="O57" i="10"/>
  <c r="O51" i="10"/>
  <c r="O41" i="10"/>
  <c r="O71" i="11"/>
  <c r="O65" i="11"/>
  <c r="O52" i="11"/>
  <c r="O47" i="11"/>
  <c r="O45" i="11"/>
  <c r="O43" i="11"/>
  <c r="O32" i="11"/>
  <c r="O44" i="13"/>
  <c r="O39" i="13"/>
  <c r="O37" i="13"/>
  <c r="O32" i="13"/>
  <c r="O30" i="13"/>
  <c r="O27" i="13"/>
  <c r="O67" i="23"/>
  <c r="O56" i="23"/>
  <c r="O28" i="23"/>
  <c r="O59" i="25"/>
  <c r="O35" i="27"/>
  <c r="O50" i="27"/>
  <c r="O71" i="27"/>
  <c r="O30" i="29"/>
  <c r="O32" i="29"/>
  <c r="O34" i="31"/>
  <c r="O40" i="31"/>
  <c r="O35" i="37"/>
  <c r="O64" i="37"/>
  <c r="O51" i="38"/>
  <c r="O27" i="39"/>
  <c r="O70" i="42"/>
  <c r="O46" i="43"/>
  <c r="O43" i="10"/>
  <c r="O61" i="22"/>
  <c r="O49" i="22"/>
  <c r="O28" i="22"/>
  <c r="O48" i="23"/>
  <c r="O41" i="25"/>
  <c r="O35" i="25"/>
  <c r="O27" i="25"/>
  <c r="O43" i="28"/>
  <c r="O51" i="28"/>
  <c r="O22" i="29"/>
  <c r="O59" i="37"/>
  <c r="O65" i="3"/>
  <c r="O28" i="3"/>
  <c r="O69" i="4"/>
  <c r="O29" i="4"/>
  <c r="O45" i="5"/>
  <c r="O43" i="5"/>
  <c r="O34" i="5"/>
  <c r="O61" i="6"/>
  <c r="O59" i="6"/>
  <c r="O41" i="6"/>
  <c r="O37" i="6"/>
  <c r="O29" i="6"/>
  <c r="O63" i="7"/>
  <c r="O61" i="7"/>
  <c r="O46" i="8"/>
  <c r="O45" i="8"/>
  <c r="O31" i="8"/>
  <c r="O29" i="8"/>
  <c r="O71" i="9"/>
  <c r="O69" i="9"/>
  <c r="O54" i="9"/>
  <c r="O54" i="10"/>
  <c r="O44" i="10"/>
  <c r="O42" i="10"/>
  <c r="O68" i="11"/>
  <c r="O55" i="11"/>
  <c r="O42" i="11"/>
  <c r="O31" i="11"/>
  <c r="O72" i="13"/>
  <c r="O24" i="13"/>
  <c r="O33" i="22"/>
  <c r="O66" i="24"/>
  <c r="O57" i="24"/>
  <c r="O22" i="28"/>
  <c r="O50" i="28"/>
  <c r="O56" i="28"/>
  <c r="O55" i="30"/>
  <c r="O33" i="38"/>
  <c r="O55" i="44"/>
  <c r="O47" i="39"/>
  <c r="O54" i="39"/>
  <c r="O20" i="40"/>
  <c r="O55" i="40"/>
  <c r="O49" i="41"/>
  <c r="O30" i="42"/>
  <c r="O41" i="42"/>
  <c r="O47" i="42"/>
  <c r="O57" i="43"/>
  <c r="O59" i="43"/>
  <c r="O65" i="43"/>
  <c r="O67" i="43"/>
  <c r="O27" i="44"/>
  <c r="O31" i="44"/>
  <c r="O38" i="44"/>
  <c r="O40" i="44"/>
  <c r="O42" i="44"/>
  <c r="O46" i="44"/>
  <c r="O66" i="44"/>
  <c r="O17" i="45"/>
  <c r="O30" i="45"/>
  <c r="O38" i="45"/>
  <c r="O46" i="45"/>
  <c r="O53" i="45"/>
  <c r="O36" i="46"/>
  <c r="O50" i="46"/>
  <c r="O38" i="29"/>
  <c r="O44" i="29"/>
  <c r="O55" i="29"/>
  <c r="O68" i="29"/>
  <c r="O72" i="29"/>
  <c r="O34" i="30"/>
  <c r="O36" i="30"/>
  <c r="O38" i="30"/>
  <c r="O44" i="30"/>
  <c r="O46" i="30"/>
  <c r="O48" i="30"/>
  <c r="O71" i="30"/>
  <c r="O29" i="31"/>
  <c r="O46" i="31"/>
  <c r="O58" i="31"/>
  <c r="O29" i="37"/>
  <c r="O31" i="37"/>
  <c r="O44" i="37"/>
  <c r="O46" i="37"/>
  <c r="O48" i="37"/>
  <c r="O61" i="37"/>
  <c r="O41" i="38"/>
  <c r="O48" i="38"/>
  <c r="O55" i="38"/>
  <c r="O64" i="38"/>
  <c r="O66" i="38"/>
  <c r="O29" i="39"/>
  <c r="O66" i="39"/>
  <c r="O60" i="41"/>
  <c r="O69" i="42"/>
  <c r="O30" i="43"/>
  <c r="O50" i="43"/>
  <c r="O35" i="44"/>
  <c r="O59" i="44"/>
  <c r="O70" i="44"/>
  <c r="O24" i="45"/>
  <c r="O32" i="45"/>
  <c r="O40" i="45"/>
  <c r="O48" i="45"/>
  <c r="O50" i="45"/>
  <c r="O69" i="45"/>
  <c r="O27" i="46"/>
  <c r="O40" i="46"/>
  <c r="O72" i="30"/>
  <c r="O36" i="38"/>
  <c r="O42" i="38"/>
  <c r="O49" i="38"/>
  <c r="O56" i="38"/>
  <c r="O65" i="39"/>
  <c r="O48" i="40"/>
  <c r="O32" i="41"/>
  <c r="O39" i="41"/>
  <c r="O41" i="41"/>
  <c r="O43" i="41"/>
  <c r="O27" i="42"/>
  <c r="O52" i="42"/>
  <c r="O56" i="42"/>
  <c r="O62" i="42"/>
  <c r="O42" i="43"/>
  <c r="O58" i="43"/>
  <c r="O66" i="43"/>
  <c r="O17" i="44"/>
  <c r="O24" i="44"/>
  <c r="O26" i="44"/>
  <c r="O32" i="44"/>
  <c r="O39" i="44"/>
  <c r="O43" i="44"/>
  <c r="O45" i="44"/>
  <c r="O47" i="44"/>
  <c r="O51" i="44"/>
  <c r="O63" i="44"/>
  <c r="O71" i="44"/>
  <c r="O26" i="45"/>
  <c r="O34" i="45"/>
  <c r="O42" i="45"/>
  <c r="O54" i="45"/>
  <c r="O56" i="45"/>
  <c r="O48" i="46"/>
  <c r="O63" i="46"/>
  <c r="C105" i="37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99" i="38"/>
  <c r="D94" i="39"/>
  <c r="C100" i="30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22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99" i="5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P130" i="31"/>
  <c r="P120" i="11"/>
  <c r="P104" i="28"/>
  <c r="P116" i="28"/>
  <c r="P126" i="28"/>
  <c r="P126" i="31"/>
  <c r="P102" i="39"/>
  <c r="P114" i="39"/>
  <c r="P120" i="39"/>
  <c r="P124" i="39"/>
  <c r="P126" i="39"/>
  <c r="P128" i="39"/>
  <c r="P130" i="39"/>
  <c r="P100" i="40"/>
  <c r="P106" i="40"/>
  <c r="P128" i="40"/>
  <c r="P110" i="41"/>
  <c r="P112" i="41"/>
  <c r="P114" i="41"/>
  <c r="P116" i="41"/>
  <c r="P118" i="41"/>
  <c r="P100" i="42"/>
  <c r="P114" i="42"/>
  <c r="P126" i="42"/>
  <c r="P128" i="42"/>
  <c r="P130" i="42"/>
  <c r="P110" i="43"/>
  <c r="P109" i="44"/>
  <c r="P125" i="44"/>
  <c r="P137" i="3"/>
  <c r="P109" i="3"/>
  <c r="P139" i="4"/>
  <c r="P135" i="4"/>
  <c r="P133" i="4"/>
  <c r="P127" i="4"/>
  <c r="P125" i="4"/>
  <c r="P123" i="4"/>
  <c r="P115" i="4"/>
  <c r="P133" i="7"/>
  <c r="P138" i="8"/>
  <c r="P136" i="8"/>
  <c r="P134" i="8"/>
  <c r="P132" i="8"/>
  <c r="P130" i="8"/>
  <c r="P128" i="8"/>
  <c r="P124" i="8"/>
  <c r="P122" i="8"/>
  <c r="P120" i="8"/>
  <c r="P118" i="8"/>
  <c r="P116" i="8"/>
  <c r="P110" i="8"/>
  <c r="P152" i="10"/>
  <c r="P125" i="13"/>
  <c r="P126" i="22"/>
  <c r="P151" i="4"/>
  <c r="P149" i="4"/>
  <c r="P141" i="4"/>
  <c r="P109" i="4"/>
  <c r="P126" i="8"/>
  <c r="P134" i="3"/>
  <c r="P130" i="3"/>
  <c r="P132" i="7"/>
  <c r="P118" i="28"/>
  <c r="P118" i="39"/>
  <c r="P122" i="39"/>
  <c r="P120" i="40"/>
  <c r="P119" i="22"/>
  <c r="P118" i="9"/>
  <c r="P130" i="11"/>
  <c r="P124" i="46"/>
  <c r="P117" i="5"/>
  <c r="P126" i="24"/>
  <c r="P122" i="24"/>
  <c r="P114" i="24"/>
  <c r="P112" i="24"/>
  <c r="P129" i="22"/>
  <c r="P125" i="22"/>
  <c r="P117" i="22"/>
  <c r="P115" i="22"/>
  <c r="P112" i="27"/>
  <c r="P122" i="27"/>
  <c r="P111" i="29"/>
  <c r="P117" i="29"/>
  <c r="P129" i="29"/>
  <c r="P118" i="30"/>
  <c r="P126" i="30"/>
  <c r="P106" i="38"/>
  <c r="P108" i="38"/>
  <c r="P112" i="38"/>
  <c r="P114" i="38"/>
  <c r="P116" i="38"/>
  <c r="P118" i="38"/>
  <c r="P122" i="38"/>
  <c r="P124" i="38"/>
  <c r="P128" i="5"/>
  <c r="P126" i="5"/>
  <c r="P120" i="5"/>
  <c r="P118" i="5"/>
  <c r="P116" i="5"/>
  <c r="P128" i="11"/>
  <c r="P126" i="11"/>
  <c r="P124" i="11"/>
  <c r="P122" i="11"/>
  <c r="P118" i="11"/>
  <c r="P114" i="11"/>
  <c r="P112" i="11"/>
  <c r="P125" i="24"/>
  <c r="P119" i="24"/>
  <c r="P117" i="24"/>
  <c r="P115" i="24"/>
  <c r="P113" i="24"/>
  <c r="P101" i="37"/>
  <c r="P109" i="37"/>
  <c r="P154" i="3"/>
  <c r="P150" i="3"/>
  <c r="P146" i="3"/>
  <c r="P144" i="3"/>
  <c r="P142" i="3"/>
  <c r="P140" i="3"/>
  <c r="P136" i="3"/>
  <c r="P132" i="3"/>
  <c r="P128" i="3"/>
  <c r="P126" i="3"/>
  <c r="P124" i="3"/>
  <c r="P120" i="3"/>
  <c r="P150" i="7"/>
  <c r="P138" i="7"/>
  <c r="P128" i="7"/>
  <c r="P126" i="7"/>
  <c r="P122" i="7"/>
  <c r="P137" i="8"/>
  <c r="P137" i="10"/>
  <c r="P126" i="13"/>
  <c r="P117" i="23"/>
  <c r="P117" i="28"/>
  <c r="P122" i="37"/>
  <c r="P128" i="37"/>
  <c r="P115" i="39"/>
  <c r="P101" i="40"/>
  <c r="P109" i="40"/>
  <c r="P113" i="40"/>
  <c r="P127" i="40"/>
  <c r="P129" i="40"/>
  <c r="P110" i="29"/>
  <c r="P109" i="38"/>
  <c r="P111" i="38"/>
  <c r="P113" i="38"/>
  <c r="P117" i="38"/>
  <c r="P119" i="38"/>
  <c r="P123" i="38"/>
  <c r="P109" i="42"/>
  <c r="P114" i="28"/>
  <c r="P124" i="28"/>
  <c r="P128" i="28"/>
  <c r="P104" i="31"/>
  <c r="P116" i="31"/>
  <c r="P120" i="31"/>
  <c r="P124" i="31"/>
  <c r="P128" i="31"/>
  <c r="P107" i="37"/>
  <c r="P111" i="37"/>
  <c r="P113" i="37"/>
  <c r="P115" i="37"/>
  <c r="P119" i="37"/>
  <c r="P125" i="37"/>
  <c r="P129" i="37"/>
  <c r="P126" i="45"/>
  <c r="P101" i="46"/>
  <c r="P129" i="46"/>
  <c r="J92" i="46"/>
  <c r="P105" i="28"/>
  <c r="P111" i="28"/>
  <c r="P111" i="40"/>
  <c r="P121" i="40"/>
  <c r="P102" i="37"/>
  <c r="P125" i="9"/>
  <c r="P115" i="31"/>
  <c r="P110" i="37"/>
  <c r="P114" i="37"/>
  <c r="P118" i="37"/>
  <c r="P126" i="37"/>
  <c r="P149" i="7"/>
  <c r="P145" i="7"/>
  <c r="P141" i="7"/>
  <c r="P137" i="7"/>
  <c r="P105" i="27"/>
  <c r="P111" i="27"/>
  <c r="P113" i="27"/>
  <c r="P115" i="27"/>
  <c r="P119" i="27"/>
  <c r="P121" i="27"/>
  <c r="P125" i="27"/>
  <c r="P127" i="27"/>
  <c r="P129" i="27"/>
  <c r="P108" i="29"/>
  <c r="P116" i="29"/>
  <c r="P118" i="29"/>
  <c r="P120" i="29"/>
  <c r="P118" i="31"/>
  <c r="P122" i="44"/>
  <c r="P108" i="37"/>
  <c r="P120" i="37"/>
  <c r="P124" i="37"/>
  <c r="P130" i="37"/>
  <c r="P148" i="3"/>
  <c r="P138" i="3"/>
  <c r="P122" i="3"/>
  <c r="P110" i="3"/>
  <c r="P144" i="4"/>
  <c r="P140" i="4"/>
  <c r="P136" i="4"/>
  <c r="P124" i="4"/>
  <c r="P129" i="10"/>
  <c r="P127" i="10"/>
  <c r="P125" i="10"/>
  <c r="P123" i="10"/>
  <c r="P121" i="10"/>
  <c r="P119" i="10"/>
  <c r="P130" i="13"/>
  <c r="P128" i="13"/>
  <c r="P120" i="13"/>
  <c r="P116" i="13"/>
  <c r="P114" i="13"/>
  <c r="P112" i="13"/>
  <c r="P110" i="13"/>
  <c r="P108" i="13"/>
  <c r="P118" i="27"/>
  <c r="P124" i="27"/>
  <c r="P112" i="30"/>
  <c r="P116" i="30"/>
  <c r="P120" i="30"/>
  <c r="P124" i="30"/>
  <c r="P128" i="30"/>
  <c r="P100" i="41"/>
  <c r="P106" i="41"/>
  <c r="P122" i="41"/>
  <c r="P107" i="44"/>
  <c r="P111" i="44"/>
  <c r="C99" i="1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45" i="5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45" i="37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45" i="1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45" i="7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45" i="40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N87" i="4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M87" i="41"/>
  <c r="B18" i="46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D94" i="11"/>
  <c r="C99" i="4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B30" i="10"/>
  <c r="D93" i="29"/>
  <c r="C45" i="22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45" i="10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B24" i="24"/>
  <c r="B18" i="42"/>
  <c r="D94" i="9"/>
  <c r="D93" i="9"/>
  <c r="D94" i="8"/>
  <c r="D93" i="8"/>
  <c r="D93" i="7"/>
  <c r="D94" i="7"/>
  <c r="O18" i="24"/>
  <c r="O19" i="8"/>
  <c r="B28" i="8"/>
  <c r="B26" i="22"/>
  <c r="O59" i="3"/>
  <c r="O49" i="3"/>
  <c r="O49" i="4"/>
  <c r="O20" i="3"/>
  <c r="P99" i="9"/>
  <c r="O39" i="9"/>
  <c r="O70" i="10"/>
  <c r="O64" i="10"/>
  <c r="O18" i="11"/>
  <c r="O67" i="13"/>
  <c r="O63" i="22"/>
  <c r="O45" i="22"/>
  <c r="P100" i="8"/>
  <c r="O47" i="7"/>
  <c r="O18" i="7"/>
  <c r="P100" i="9"/>
  <c r="P100" i="10"/>
  <c r="O48" i="10"/>
  <c r="O66" i="11"/>
  <c r="O53" i="11"/>
  <c r="O46" i="11"/>
  <c r="O29" i="11"/>
  <c r="O57" i="22"/>
  <c r="P124" i="6"/>
  <c r="P118" i="6"/>
  <c r="O17" i="22"/>
  <c r="O21" i="6"/>
  <c r="P112" i="5"/>
  <c r="P110" i="5"/>
  <c r="P153" i="6"/>
  <c r="P151" i="6"/>
  <c r="P149" i="6"/>
  <c r="P143" i="6"/>
  <c r="P137" i="6"/>
  <c r="P117" i="6"/>
  <c r="P111" i="6"/>
  <c r="P151" i="8"/>
  <c r="P147" i="8"/>
  <c r="P145" i="8"/>
  <c r="P141" i="8"/>
  <c r="P139" i="8"/>
  <c r="P133" i="8"/>
  <c r="P131" i="8"/>
  <c r="P154" i="10"/>
  <c r="P150" i="10"/>
  <c r="P148" i="10"/>
  <c r="P144" i="10"/>
  <c r="P142" i="10"/>
  <c r="P140" i="10"/>
  <c r="P136" i="10"/>
  <c r="P118" i="10"/>
  <c r="P129" i="11"/>
  <c r="P117" i="11"/>
  <c r="P119" i="13"/>
  <c r="P109" i="13"/>
  <c r="P127" i="23"/>
  <c r="P119" i="23"/>
  <c r="P107" i="23"/>
  <c r="O44" i="23"/>
  <c r="O58" i="24"/>
  <c r="O21" i="8"/>
  <c r="O22" i="9"/>
  <c r="O23" i="10"/>
  <c r="O31" i="27"/>
  <c r="O48" i="27"/>
  <c r="O69" i="27"/>
  <c r="P154" i="7"/>
  <c r="P152" i="7"/>
  <c r="P146" i="7"/>
  <c r="P144" i="7"/>
  <c r="P142" i="7"/>
  <c r="P140" i="7"/>
  <c r="P136" i="7"/>
  <c r="P124" i="7"/>
  <c r="P122" i="23"/>
  <c r="P118" i="23"/>
  <c r="O49" i="23"/>
  <c r="O26" i="23"/>
  <c r="O68" i="24"/>
  <c r="O45" i="24"/>
  <c r="O43" i="24"/>
  <c r="O67" i="25"/>
  <c r="O46" i="25"/>
  <c r="O22" i="11"/>
  <c r="O19" i="22"/>
  <c r="I12" i="46"/>
  <c r="I12" i="45"/>
  <c r="I12" i="43"/>
  <c r="I13" i="43" s="1"/>
  <c r="P114" i="27"/>
  <c r="P116" i="27"/>
  <c r="P120" i="27"/>
  <c r="P126" i="27"/>
  <c r="P128" i="27"/>
  <c r="P130" i="27"/>
  <c r="O23" i="11"/>
  <c r="P104" i="6"/>
  <c r="O19" i="24"/>
  <c r="O21" i="25"/>
  <c r="O18" i="29"/>
  <c r="O17" i="30"/>
  <c r="O42" i="37"/>
  <c r="P100" i="28"/>
  <c r="I12" i="44"/>
  <c r="J94" i="46"/>
  <c r="J95" i="46" s="1"/>
  <c r="J94" i="45"/>
  <c r="J95" i="45" s="1"/>
  <c r="J94" i="44"/>
  <c r="J95" i="44" s="1"/>
  <c r="O19" i="23"/>
  <c r="P103" i="25"/>
  <c r="O39" i="37"/>
  <c r="P113" i="28"/>
  <c r="P119" i="28"/>
  <c r="P125" i="28"/>
  <c r="P113" i="29"/>
  <c r="P119" i="29"/>
  <c r="P121" i="29"/>
  <c r="P108" i="10"/>
  <c r="O22" i="23"/>
  <c r="O21" i="24"/>
  <c r="O19" i="28"/>
  <c r="O18" i="30"/>
  <c r="P100" i="31"/>
  <c r="O42" i="41"/>
  <c r="O54" i="41"/>
  <c r="P106" i="3"/>
  <c r="O28" i="7"/>
  <c r="O26" i="8"/>
  <c r="O68" i="40"/>
  <c r="P105" i="3"/>
  <c r="O25" i="6"/>
  <c r="O25" i="8"/>
  <c r="P107" i="9"/>
  <c r="P104" i="22"/>
  <c r="O20" i="27"/>
  <c r="P100" i="29"/>
  <c r="O62" i="41"/>
  <c r="O66" i="41"/>
  <c r="O18" i="42"/>
  <c r="P107" i="6"/>
  <c r="O25" i="25"/>
  <c r="P112" i="28"/>
  <c r="P122" i="28"/>
  <c r="O37" i="38"/>
  <c r="O57" i="38"/>
  <c r="O29" i="42"/>
  <c r="O27" i="6"/>
  <c r="P101" i="30"/>
  <c r="P108" i="6"/>
  <c r="P110" i="7"/>
  <c r="P109" i="11"/>
  <c r="O21" i="31"/>
  <c r="O33" i="43"/>
  <c r="O18" i="44"/>
  <c r="P128" i="38"/>
  <c r="P130" i="38"/>
  <c r="P101" i="41"/>
  <c r="P127" i="41"/>
  <c r="P101" i="42"/>
  <c r="P113" i="42"/>
  <c r="P119" i="42"/>
  <c r="P123" i="42"/>
  <c r="P105" i="25"/>
  <c r="P101" i="28"/>
  <c r="P107" i="4"/>
  <c r="P109" i="9"/>
  <c r="P105" i="23"/>
  <c r="O21" i="29"/>
  <c r="P106" i="43"/>
  <c r="P112" i="43"/>
  <c r="P116" i="43"/>
  <c r="P122" i="43"/>
  <c r="O28" i="44"/>
  <c r="O50" i="44"/>
  <c r="O60" i="44"/>
  <c r="O67" i="44"/>
  <c r="O61" i="45"/>
  <c r="O23" i="46"/>
  <c r="O37" i="46"/>
  <c r="O29" i="44"/>
  <c r="O64" i="44"/>
  <c r="O65" i="45"/>
  <c r="O31" i="46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P123" i="46"/>
  <c r="P122" i="45"/>
  <c r="P125" i="46"/>
  <c r="P120" i="28"/>
  <c r="P124" i="43"/>
  <c r="P114" i="45"/>
  <c r="P116" i="45"/>
  <c r="P118" i="45"/>
  <c r="P120" i="45"/>
  <c r="P128" i="45"/>
  <c r="P118" i="3"/>
  <c r="P148" i="6"/>
  <c r="P140" i="6"/>
  <c r="P112" i="7"/>
  <c r="P130" i="9"/>
  <c r="P126" i="9"/>
  <c r="P124" i="9"/>
  <c r="P120" i="9"/>
  <c r="P112" i="9"/>
  <c r="P124" i="22"/>
  <c r="P122" i="22"/>
  <c r="P130" i="28"/>
  <c r="P115" i="44"/>
  <c r="P119" i="44"/>
  <c r="P121" i="44"/>
  <c r="P123" i="44"/>
  <c r="P127" i="44"/>
  <c r="P129" i="44"/>
  <c r="P123" i="28"/>
  <c r="P127" i="28"/>
  <c r="P122" i="29"/>
  <c r="P124" i="29"/>
  <c r="P126" i="29"/>
  <c r="P130" i="29"/>
  <c r="P109" i="30"/>
  <c r="P113" i="30"/>
  <c r="P117" i="30"/>
  <c r="P119" i="30"/>
  <c r="P123" i="30"/>
  <c r="P125" i="30"/>
  <c r="P127" i="30"/>
  <c r="P129" i="30"/>
  <c r="P105" i="31"/>
  <c r="P119" i="43"/>
  <c r="P123" i="43"/>
  <c r="P149" i="3"/>
  <c r="P130" i="46"/>
  <c r="P147" i="3"/>
  <c r="P145" i="3"/>
  <c r="P143" i="3"/>
  <c r="P135" i="3"/>
  <c r="P133" i="3"/>
  <c r="P131" i="3"/>
  <c r="P127" i="3"/>
  <c r="P125" i="3"/>
  <c r="P121" i="3"/>
  <c r="P117" i="3"/>
  <c r="P115" i="3"/>
  <c r="P154" i="4"/>
  <c r="P152" i="4"/>
  <c r="P150" i="4"/>
  <c r="P148" i="4"/>
  <c r="P130" i="4"/>
  <c r="P122" i="4"/>
  <c r="P118" i="4"/>
  <c r="P116" i="4"/>
  <c r="P110" i="4"/>
  <c r="P142" i="5"/>
  <c r="P140" i="5"/>
  <c r="P136" i="5"/>
  <c r="P130" i="5"/>
  <c r="P148" i="7"/>
  <c r="P153" i="8"/>
  <c r="P130" i="10"/>
  <c r="P127" i="11"/>
  <c r="P119" i="11"/>
  <c r="P115" i="11"/>
  <c r="P111" i="13"/>
  <c r="P116" i="22"/>
  <c r="P114" i="22"/>
  <c r="P110" i="22"/>
  <c r="P116" i="23"/>
  <c r="P110" i="28"/>
  <c r="P107" i="41"/>
  <c r="P111" i="41"/>
  <c r="P113" i="41"/>
  <c r="P125" i="41"/>
  <c r="P129" i="41"/>
  <c r="P121" i="42"/>
  <c r="P127" i="42"/>
  <c r="P114" i="43"/>
  <c r="P118" i="43"/>
  <c r="P127" i="43"/>
  <c r="P99" i="44"/>
  <c r="P100" i="44"/>
  <c r="P106" i="44"/>
  <c r="P108" i="44"/>
  <c r="P110" i="44"/>
  <c r="P112" i="44"/>
  <c r="P114" i="44"/>
  <c r="P116" i="44"/>
  <c r="P120" i="44"/>
  <c r="P128" i="44"/>
  <c r="P130" i="44"/>
  <c r="P106" i="46"/>
  <c r="P108" i="46"/>
  <c r="P120" i="46"/>
  <c r="P126" i="46"/>
  <c r="P145" i="4"/>
  <c r="P123" i="7"/>
  <c r="P121" i="7"/>
  <c r="P119" i="7"/>
  <c r="P113" i="7"/>
  <c r="P154" i="8"/>
  <c r="P150" i="8"/>
  <c r="P146" i="8"/>
  <c r="P144" i="8"/>
  <c r="P142" i="8"/>
  <c r="P121" i="9"/>
  <c r="P119" i="9"/>
  <c r="P111" i="9"/>
  <c r="P107" i="39"/>
  <c r="P123" i="39"/>
  <c r="P127" i="39"/>
  <c r="P120" i="41"/>
  <c r="P124" i="41"/>
  <c r="P126" i="41"/>
  <c r="P128" i="41"/>
  <c r="P130" i="41"/>
  <c r="P106" i="42"/>
  <c r="P108" i="42"/>
  <c r="P110" i="42"/>
  <c r="P118" i="42"/>
  <c r="P120" i="42"/>
  <c r="P122" i="42"/>
  <c r="P99" i="46"/>
  <c r="P117" i="46"/>
  <c r="P147" i="4"/>
  <c r="P147" i="6"/>
  <c r="P145" i="6"/>
  <c r="P141" i="6"/>
  <c r="P139" i="6"/>
  <c r="P135" i="6"/>
  <c r="P133" i="6"/>
  <c r="P131" i="6"/>
  <c r="P129" i="6"/>
  <c r="P127" i="6"/>
  <c r="P125" i="6"/>
  <c r="P123" i="6"/>
  <c r="P121" i="6"/>
  <c r="P145" i="10"/>
  <c r="P111" i="31"/>
  <c r="P117" i="31"/>
  <c r="P119" i="31"/>
  <c r="P121" i="31"/>
  <c r="P129" i="31"/>
  <c r="P126" i="38"/>
  <c r="P110" i="39"/>
  <c r="P112" i="39"/>
  <c r="P116" i="39"/>
  <c r="P115" i="42"/>
  <c r="P117" i="42"/>
  <c r="P109" i="46"/>
  <c r="P152" i="3"/>
  <c r="P116" i="3"/>
  <c r="P137" i="4"/>
  <c r="P141" i="5"/>
  <c r="P149" i="8"/>
  <c r="P127" i="9"/>
  <c r="P121" i="22"/>
  <c r="P129" i="23"/>
  <c r="P125" i="23"/>
  <c r="P123" i="23"/>
  <c r="P121" i="23"/>
  <c r="P113" i="23"/>
  <c r="P152" i="5"/>
  <c r="P148" i="5"/>
  <c r="P138" i="5"/>
  <c r="P134" i="5"/>
  <c r="P132" i="5"/>
  <c r="P127" i="5"/>
  <c r="P121" i="5"/>
  <c r="P119" i="5"/>
  <c r="P115" i="5"/>
  <c r="P152" i="6"/>
  <c r="P153" i="7"/>
  <c r="P143" i="7"/>
  <c r="P139" i="7"/>
  <c r="P125" i="7"/>
  <c r="P120" i="7"/>
  <c r="P118" i="7"/>
  <c r="P152" i="8"/>
  <c r="P148" i="8"/>
  <c r="P140" i="8"/>
  <c r="P129" i="8"/>
  <c r="P128" i="9"/>
  <c r="P122" i="9"/>
  <c r="P146" i="10"/>
  <c r="P128" i="22"/>
  <c r="P120" i="22"/>
  <c r="P118" i="22"/>
  <c r="P101" i="38"/>
  <c r="P127" i="38"/>
  <c r="P129" i="38"/>
  <c r="P101" i="39"/>
  <c r="P111" i="39"/>
  <c r="P117" i="39"/>
  <c r="P119" i="39"/>
  <c r="P121" i="39"/>
  <c r="P125" i="39"/>
  <c r="P129" i="39"/>
  <c r="P108" i="40"/>
  <c r="P110" i="40"/>
  <c r="P112" i="40"/>
  <c r="P114" i="40"/>
  <c r="P116" i="40"/>
  <c r="P118" i="40"/>
  <c r="P122" i="40"/>
  <c r="P115" i="41"/>
  <c r="P117" i="41"/>
  <c r="P119" i="45"/>
  <c r="F48" i="2"/>
  <c r="F52" i="2" s="1"/>
  <c r="P120" i="6"/>
  <c r="P127" i="8"/>
  <c r="P123" i="8"/>
  <c r="P121" i="8"/>
  <c r="P117" i="8"/>
  <c r="P138" i="10"/>
  <c r="P123" i="11"/>
  <c r="P121" i="11"/>
  <c r="P129" i="13"/>
  <c r="P127" i="13"/>
  <c r="P115" i="13"/>
  <c r="P109" i="22"/>
  <c r="P114" i="23"/>
  <c r="P125" i="38"/>
  <c r="P113" i="39"/>
  <c r="P109" i="45"/>
  <c r="P113" i="45"/>
  <c r="P121" i="45"/>
  <c r="P123" i="45"/>
  <c r="P125" i="45"/>
  <c r="P127" i="45"/>
  <c r="P153" i="3"/>
  <c r="P151" i="3"/>
  <c r="P141" i="3"/>
  <c r="P139" i="3"/>
  <c r="P129" i="3"/>
  <c r="P123" i="3"/>
  <c r="P119" i="3"/>
  <c r="P146" i="4"/>
  <c r="P138" i="4"/>
  <c r="P134" i="4"/>
  <c r="P128" i="4"/>
  <c r="P126" i="4"/>
  <c r="P120" i="4"/>
  <c r="P135" i="7"/>
  <c r="P147" i="10"/>
  <c r="P141" i="10"/>
  <c r="P139" i="10"/>
  <c r="J94" i="43"/>
  <c r="J94" i="13"/>
  <c r="J94" i="30"/>
  <c r="J95" i="30" s="1"/>
  <c r="J94" i="27"/>
  <c r="J95" i="27" s="1"/>
  <c r="J94" i="8"/>
  <c r="J95" i="8" s="1"/>
  <c r="J94" i="3"/>
  <c r="J95" i="3" s="1"/>
  <c r="J94" i="38"/>
  <c r="J94" i="25"/>
  <c r="J95" i="25" s="1"/>
  <c r="J94" i="28"/>
  <c r="J95" i="28" s="1"/>
  <c r="J94" i="7"/>
  <c r="J95" i="7" s="1"/>
  <c r="J94" i="9"/>
  <c r="J94" i="4"/>
  <c r="J95" i="4" s="1"/>
  <c r="J94" i="6"/>
  <c r="J95" i="6" s="1"/>
  <c r="J94" i="11"/>
  <c r="J95" i="11" s="1"/>
  <c r="P114" i="29"/>
  <c r="P110" i="30"/>
  <c r="P114" i="31"/>
  <c r="P100" i="43"/>
  <c r="P108" i="43"/>
  <c r="P108" i="45"/>
  <c r="P144" i="5"/>
  <c r="P108" i="23"/>
  <c r="P129" i="24"/>
  <c r="P128" i="29"/>
  <c r="P105" i="30"/>
  <c r="P123" i="37"/>
  <c r="P107" i="40"/>
  <c r="P115" i="40"/>
  <c r="P117" i="40"/>
  <c r="P108" i="41"/>
  <c r="P124" i="42"/>
  <c r="P101" i="43"/>
  <c r="P107" i="43"/>
  <c r="P109" i="43"/>
  <c r="P128" i="43"/>
  <c r="P124" i="44"/>
  <c r="P126" i="44"/>
  <c r="P100" i="45"/>
  <c r="P102" i="45"/>
  <c r="P106" i="45"/>
  <c r="P105" i="46"/>
  <c r="P107" i="46"/>
  <c r="P113" i="46"/>
  <c r="P115" i="46"/>
  <c r="P149" i="5"/>
  <c r="P133" i="5"/>
  <c r="P129" i="5"/>
  <c r="P124" i="5"/>
  <c r="P110" i="6"/>
  <c r="P143" i="8"/>
  <c r="P129" i="9"/>
  <c r="P153" i="10"/>
  <c r="P151" i="10"/>
  <c r="P149" i="10"/>
  <c r="P134" i="10"/>
  <c r="P126" i="10"/>
  <c r="P125" i="11"/>
  <c r="P124" i="13"/>
  <c r="P122" i="13"/>
  <c r="P127" i="22"/>
  <c r="P123" i="22"/>
  <c r="P108" i="22"/>
  <c r="P126" i="23"/>
  <c r="P128" i="24"/>
  <c r="P124" i="24"/>
  <c r="P120" i="24"/>
  <c r="P118" i="24"/>
  <c r="P116" i="24"/>
  <c r="P105" i="29"/>
  <c r="P107" i="29"/>
  <c r="P115" i="29"/>
  <c r="P123" i="31"/>
  <c r="P116" i="37"/>
  <c r="P120" i="38"/>
  <c r="P107" i="42"/>
  <c r="P129" i="42"/>
  <c r="P129" i="43"/>
  <c r="P103" i="45"/>
  <c r="P107" i="45"/>
  <c r="P116" i="46"/>
  <c r="P143" i="4"/>
  <c r="P130" i="6"/>
  <c r="P106" i="24"/>
  <c r="P105" i="44"/>
  <c r="P112" i="45"/>
  <c r="P142" i="4"/>
  <c r="P132" i="4"/>
  <c r="P154" i="5"/>
  <c r="P125" i="29"/>
  <c r="P124" i="40"/>
  <c r="P130" i="40"/>
  <c r="P143" i="5"/>
  <c r="P122" i="5"/>
  <c r="P109" i="5"/>
  <c r="P134" i="7"/>
  <c r="P130" i="7"/>
  <c r="P125" i="8"/>
  <c r="P143" i="10"/>
  <c r="P132" i="10"/>
  <c r="P128" i="10"/>
  <c r="P123" i="13"/>
  <c r="P121" i="13"/>
  <c r="P117" i="13"/>
  <c r="P130" i="23"/>
  <c r="P128" i="23"/>
  <c r="P124" i="23"/>
  <c r="P107" i="24"/>
  <c r="P123" i="29"/>
  <c r="P127" i="29"/>
  <c r="P111" i="30"/>
  <c r="P115" i="30"/>
  <c r="P110" i="31"/>
  <c r="P112" i="31"/>
  <c r="P125" i="31"/>
  <c r="P127" i="31"/>
  <c r="P112" i="37"/>
  <c r="P109" i="39"/>
  <c r="P119" i="40"/>
  <c r="P123" i="40"/>
  <c r="P126" i="40"/>
  <c r="P109" i="41"/>
  <c r="P112" i="42"/>
  <c r="P116" i="42"/>
  <c r="P113" i="44"/>
  <c r="P110" i="45"/>
  <c r="P117" i="45"/>
  <c r="P124" i="45"/>
  <c r="P110" i="46"/>
  <c r="P112" i="46"/>
  <c r="P119" i="46"/>
  <c r="P121" i="46"/>
  <c r="P150" i="5"/>
  <c r="F88" i="2"/>
  <c r="F89" i="2" s="1"/>
  <c r="P117" i="27"/>
  <c r="P104" i="30"/>
  <c r="P121" i="30"/>
  <c r="P113" i="43"/>
  <c r="P117" i="43"/>
  <c r="P117" i="44"/>
  <c r="P105" i="45"/>
  <c r="P111" i="45"/>
  <c r="P114" i="46"/>
  <c r="P127" i="46"/>
  <c r="P151" i="5"/>
  <c r="P146" i="5"/>
  <c r="P137" i="5"/>
  <c r="P135" i="5"/>
  <c r="P125" i="5"/>
  <c r="P142" i="6"/>
  <c r="P128" i="6"/>
  <c r="P119" i="6"/>
  <c r="P151" i="7"/>
  <c r="P147" i="7"/>
  <c r="P131" i="7"/>
  <c r="P127" i="7"/>
  <c r="P135" i="8"/>
  <c r="P119" i="8"/>
  <c r="P111" i="8"/>
  <c r="P117" i="9"/>
  <c r="P135" i="10"/>
  <c r="P133" i="10"/>
  <c r="P112" i="10"/>
  <c r="P130" i="22"/>
  <c r="P130" i="24"/>
  <c r="P127" i="24"/>
  <c r="P123" i="24"/>
  <c r="P121" i="24"/>
  <c r="P106" i="27"/>
  <c r="P115" i="28"/>
  <c r="P103" i="30"/>
  <c r="P114" i="30"/>
  <c r="P122" i="30"/>
  <c r="P130" i="30"/>
  <c r="P113" i="31"/>
  <c r="P122" i="31"/>
  <c r="P117" i="37"/>
  <c r="P121" i="37"/>
  <c r="P127" i="37"/>
  <c r="P115" i="38"/>
  <c r="P121" i="38"/>
  <c r="P125" i="40"/>
  <c r="P119" i="41"/>
  <c r="P123" i="41"/>
  <c r="P125" i="43"/>
  <c r="P99" i="45"/>
  <c r="P115" i="45"/>
  <c r="P129" i="45"/>
  <c r="P102" i="46"/>
  <c r="P104" i="46"/>
  <c r="P111" i="46"/>
  <c r="P118" i="46"/>
  <c r="P122" i="46"/>
  <c r="P128" i="46"/>
  <c r="P126" i="6"/>
  <c r="P129" i="7"/>
  <c r="P123" i="9"/>
  <c r="P131" i="10"/>
  <c r="P120" i="23"/>
  <c r="P123" i="27"/>
  <c r="P121" i="28"/>
  <c r="P108" i="39"/>
  <c r="P126" i="43"/>
  <c r="P122" i="10"/>
  <c r="P120" i="10"/>
  <c r="P113" i="10"/>
  <c r="P118" i="13"/>
  <c r="P113" i="13"/>
  <c r="P104" i="29"/>
  <c r="P111" i="42"/>
  <c r="P111" i="11"/>
  <c r="P115" i="23"/>
  <c r="P129" i="28"/>
  <c r="P110" i="38"/>
  <c r="P120" i="43"/>
  <c r="P130" i="43"/>
  <c r="P118" i="44"/>
  <c r="C26" i="17"/>
  <c r="D45" i="17"/>
  <c r="C37" i="17"/>
  <c r="D20" i="17"/>
  <c r="C29" i="17"/>
  <c r="C32" i="17"/>
  <c r="C23" i="17"/>
  <c r="C20" i="17"/>
  <c r="D43" i="17"/>
  <c r="C30" i="17"/>
  <c r="C50" i="17"/>
  <c r="C28" i="17"/>
  <c r="D36" i="17"/>
  <c r="D46" i="17"/>
  <c r="C33" i="17"/>
  <c r="C39" i="17"/>
  <c r="C51" i="17"/>
  <c r="C49" i="17"/>
  <c r="D48" i="17"/>
  <c r="C52" i="17"/>
  <c r="C35" i="17"/>
  <c r="D37" i="17"/>
  <c r="C46" i="17"/>
  <c r="C45" i="17"/>
  <c r="D47" i="17"/>
  <c r="D44" i="17"/>
  <c r="C44" i="17"/>
  <c r="C36" i="17"/>
  <c r="C47" i="17"/>
  <c r="D19" i="17"/>
  <c r="C54" i="17"/>
  <c r="D32" i="17"/>
  <c r="D40" i="17"/>
  <c r="C48" i="17"/>
  <c r="D50" i="17"/>
  <c r="D49" i="17"/>
  <c r="C27" i="17"/>
  <c r="D26" i="17"/>
  <c r="C19" i="17"/>
  <c r="C18" i="17"/>
  <c r="C53" i="17"/>
  <c r="D29" i="17"/>
  <c r="C38" i="17"/>
  <c r="L86" i="59" l="1"/>
  <c r="N87" i="59"/>
  <c r="O87" i="59" s="1"/>
  <c r="M87" i="59"/>
  <c r="N88" i="59"/>
  <c r="N89" i="59" s="1"/>
  <c r="M87" i="58"/>
  <c r="L86" i="58"/>
  <c r="N87" i="58"/>
  <c r="O87" i="58" s="1"/>
  <c r="N88" i="58"/>
  <c r="N89" i="58" s="1"/>
  <c r="J99" i="58"/>
  <c r="H99" i="13"/>
  <c r="L99" i="13" s="1"/>
  <c r="M99" i="13" s="1"/>
  <c r="G100" i="58"/>
  <c r="D101" i="58"/>
  <c r="B101" i="58" s="1"/>
  <c r="D101" i="59"/>
  <c r="E101" i="59" s="1"/>
  <c r="G100" i="59"/>
  <c r="J99" i="59"/>
  <c r="J95" i="47"/>
  <c r="M87" i="23"/>
  <c r="N87" i="56"/>
  <c r="L86" i="56"/>
  <c r="M87" i="56"/>
  <c r="L86" i="57"/>
  <c r="J95" i="57"/>
  <c r="J99" i="56"/>
  <c r="I13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D101" i="56"/>
  <c r="E101" i="56" s="1"/>
  <c r="G100" i="56"/>
  <c r="B100" i="13"/>
  <c r="B65" i="56"/>
  <c r="F65" i="56"/>
  <c r="M87" i="9"/>
  <c r="O87" i="9" s="1"/>
  <c r="J95" i="55"/>
  <c r="M87" i="10"/>
  <c r="O87" i="10" s="1"/>
  <c r="L86" i="10"/>
  <c r="N87" i="37"/>
  <c r="L86" i="54"/>
  <c r="M87" i="54"/>
  <c r="N87" i="54"/>
  <c r="L86" i="55"/>
  <c r="N87" i="55"/>
  <c r="M87" i="55"/>
  <c r="I13" i="54"/>
  <c r="I13" i="55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M87" i="5"/>
  <c r="M87" i="40"/>
  <c r="F20" i="2"/>
  <c r="E25" i="2" s="1"/>
  <c r="E26" i="2" s="1"/>
  <c r="E30" i="2" s="1"/>
  <c r="L86" i="28"/>
  <c r="N87" i="11"/>
  <c r="O87" i="11" s="1"/>
  <c r="N87" i="28"/>
  <c r="O87" i="28" s="1"/>
  <c r="N87" i="23"/>
  <c r="N87" i="3"/>
  <c r="O87" i="3" s="1"/>
  <c r="N87" i="42"/>
  <c r="L86" i="45"/>
  <c r="J95" i="48"/>
  <c r="L99" i="48"/>
  <c r="M99" i="48" s="1"/>
  <c r="N87" i="13"/>
  <c r="J95" i="49"/>
  <c r="L99" i="49"/>
  <c r="M99" i="49" s="1"/>
  <c r="J95" i="9"/>
  <c r="I13" i="49"/>
  <c r="N87" i="25"/>
  <c r="O87" i="25" s="1"/>
  <c r="L86" i="25"/>
  <c r="L86" i="47"/>
  <c r="L86" i="49"/>
  <c r="L86" i="48"/>
  <c r="F20" i="1"/>
  <c r="E32" i="1" s="1"/>
  <c r="M87" i="31"/>
  <c r="N87" i="22"/>
  <c r="O87" i="22" s="1"/>
  <c r="L86" i="3"/>
  <c r="N87" i="31"/>
  <c r="M87" i="42"/>
  <c r="L86" i="39"/>
  <c r="M87" i="8"/>
  <c r="N87" i="8"/>
  <c r="M87" i="29"/>
  <c r="N87" i="29"/>
  <c r="L86" i="22"/>
  <c r="M87" i="13"/>
  <c r="L86" i="44"/>
  <c r="M87" i="7"/>
  <c r="N87" i="5"/>
  <c r="N87" i="27"/>
  <c r="M87" i="27"/>
  <c r="N87" i="24"/>
  <c r="N87" i="30"/>
  <c r="N87" i="40"/>
  <c r="M87" i="44"/>
  <c r="O87" i="44" s="1"/>
  <c r="N87" i="7"/>
  <c r="M87" i="43"/>
  <c r="O87" i="43" s="1"/>
  <c r="M87" i="24"/>
  <c r="L86" i="43"/>
  <c r="M87" i="30"/>
  <c r="M87" i="39"/>
  <c r="O87" i="39" s="1"/>
  <c r="L86" i="9"/>
  <c r="N87" i="38"/>
  <c r="M87" i="38"/>
  <c r="M87" i="6"/>
  <c r="N87" i="6"/>
  <c r="L86" i="11"/>
  <c r="M87" i="37"/>
  <c r="B19" i="44"/>
  <c r="B18" i="45"/>
  <c r="C100" i="38"/>
  <c r="C101" i="38" s="1"/>
  <c r="C102" i="38" s="1"/>
  <c r="C103" i="38" s="1"/>
  <c r="C104" i="38" s="1"/>
  <c r="C105" i="38" s="1"/>
  <c r="C106" i="38" s="1"/>
  <c r="C107" i="38" s="1"/>
  <c r="C108" i="38" s="1"/>
  <c r="C109" i="38" s="1"/>
  <c r="C110" i="38" s="1"/>
  <c r="C111" i="38" s="1"/>
  <c r="C112" i="38" s="1"/>
  <c r="C113" i="38" s="1"/>
  <c r="C114" i="38" s="1"/>
  <c r="C115" i="38" s="1"/>
  <c r="C116" i="38" s="1"/>
  <c r="C117" i="38" s="1"/>
  <c r="C118" i="38" s="1"/>
  <c r="C119" i="38" s="1"/>
  <c r="C120" i="38" s="1"/>
  <c r="C121" i="38" s="1"/>
  <c r="C122" i="38" s="1"/>
  <c r="C123" i="38" s="1"/>
  <c r="C124" i="38" s="1"/>
  <c r="C125" i="38" s="1"/>
  <c r="C126" i="38" s="1"/>
  <c r="C127" i="38" s="1"/>
  <c r="C128" i="38" s="1"/>
  <c r="C129" i="38" s="1"/>
  <c r="C130" i="38" s="1"/>
  <c r="C131" i="38" s="1"/>
  <c r="C132" i="38" s="1"/>
  <c r="C133" i="38" s="1"/>
  <c r="C134" i="38" s="1"/>
  <c r="C135" i="38" s="1"/>
  <c r="C136" i="38" s="1"/>
  <c r="C137" i="38" s="1"/>
  <c r="C138" i="38" s="1"/>
  <c r="C139" i="38" s="1"/>
  <c r="C140" i="38" s="1"/>
  <c r="C141" i="38" s="1"/>
  <c r="C142" i="38" s="1"/>
  <c r="C143" i="38" s="1"/>
  <c r="C144" i="38" s="1"/>
  <c r="C145" i="38" s="1"/>
  <c r="C146" i="38" s="1"/>
  <c r="C147" i="38" s="1"/>
  <c r="C148" i="38" s="1"/>
  <c r="C149" i="38" s="1"/>
  <c r="C150" i="38" s="1"/>
  <c r="C151" i="38" s="1"/>
  <c r="C152" i="38" s="1"/>
  <c r="C153" i="38" s="1"/>
  <c r="C154" i="38" s="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M87" i="46"/>
  <c r="N87" i="46"/>
  <c r="L86" i="46"/>
  <c r="O87" i="41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I13" i="44"/>
  <c r="I13" i="45"/>
  <c r="C99" i="7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99" i="8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45" i="45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I13" i="46"/>
  <c r="C99" i="9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J95" i="43"/>
  <c r="J95" i="38"/>
  <c r="J95" i="13"/>
  <c r="I99" i="13" s="1"/>
  <c r="D23" i="17"/>
  <c r="C42" i="17"/>
  <c r="D18" i="17"/>
  <c r="D21" i="17"/>
  <c r="D42" i="17"/>
  <c r="D24" i="17"/>
  <c r="C24" i="17"/>
  <c r="D38" i="17"/>
  <c r="D22" i="17"/>
  <c r="D25" i="17"/>
  <c r="D27" i="17"/>
  <c r="D33" i="17"/>
  <c r="D34" i="17"/>
  <c r="C21" i="17"/>
  <c r="D39" i="17"/>
  <c r="C25" i="17"/>
  <c r="D28" i="17"/>
  <c r="D31" i="17"/>
  <c r="D41" i="17"/>
  <c r="C41" i="17"/>
  <c r="C31" i="17"/>
  <c r="D30" i="17"/>
  <c r="C43" i="17"/>
  <c r="C34" i="17"/>
  <c r="C40" i="17"/>
  <c r="C22" i="17"/>
  <c r="D35" i="17"/>
  <c r="I99" i="55" l="1"/>
  <c r="J99" i="13"/>
  <c r="N99" i="13"/>
  <c r="O99" i="13" s="1"/>
  <c r="P99" i="13" s="1"/>
  <c r="N5" i="56"/>
  <c r="I100" i="59"/>
  <c r="H100" i="59"/>
  <c r="B101" i="59"/>
  <c r="F101" i="59"/>
  <c r="E101" i="58"/>
  <c r="F101" i="58" s="1"/>
  <c r="H100" i="58"/>
  <c r="I100" i="58"/>
  <c r="O87" i="23"/>
  <c r="O87" i="56"/>
  <c r="O87" i="7"/>
  <c r="D18" i="13"/>
  <c r="B18" i="13" s="1"/>
  <c r="O87" i="37"/>
  <c r="H17" i="56"/>
  <c r="I17" i="56" s="1"/>
  <c r="H18" i="56"/>
  <c r="I18" i="56" s="1"/>
  <c r="H19" i="56"/>
  <c r="I19" i="56" s="1"/>
  <c r="H20" i="56"/>
  <c r="I20" i="56" s="1"/>
  <c r="H21" i="56"/>
  <c r="I21" i="56" s="1"/>
  <c r="H22" i="56"/>
  <c r="I22" i="56" s="1"/>
  <c r="H23" i="56"/>
  <c r="I23" i="56" s="1"/>
  <c r="H24" i="56"/>
  <c r="I24" i="56" s="1"/>
  <c r="H25" i="56"/>
  <c r="H26" i="56"/>
  <c r="I26" i="56" s="1"/>
  <c r="H27" i="56"/>
  <c r="I27" i="56" s="1"/>
  <c r="H28" i="56"/>
  <c r="I28" i="56" s="1"/>
  <c r="H29" i="56"/>
  <c r="I29" i="56" s="1"/>
  <c r="H30" i="56"/>
  <c r="I30" i="56" s="1"/>
  <c r="H31" i="56"/>
  <c r="I31" i="56" s="1"/>
  <c r="H32" i="56"/>
  <c r="I32" i="56" s="1"/>
  <c r="H33" i="56"/>
  <c r="I33" i="56" s="1"/>
  <c r="H34" i="56"/>
  <c r="I34" i="56" s="1"/>
  <c r="H35" i="56"/>
  <c r="I35" i="56" s="1"/>
  <c r="H36" i="56"/>
  <c r="I36" i="56" s="1"/>
  <c r="H37" i="56"/>
  <c r="I37" i="56" s="1"/>
  <c r="H38" i="56"/>
  <c r="I38" i="56" s="1"/>
  <c r="H39" i="56"/>
  <c r="I39" i="56" s="1"/>
  <c r="H40" i="56"/>
  <c r="I40" i="56" s="1"/>
  <c r="H41" i="56"/>
  <c r="I41" i="56" s="1"/>
  <c r="H42" i="56"/>
  <c r="I42" i="56" s="1"/>
  <c r="H43" i="56"/>
  <c r="I43" i="56" s="1"/>
  <c r="H44" i="56"/>
  <c r="I44" i="56" s="1"/>
  <c r="H45" i="56"/>
  <c r="I45" i="56" s="1"/>
  <c r="H46" i="56"/>
  <c r="I46" i="56" s="1"/>
  <c r="H47" i="56"/>
  <c r="I47" i="56" s="1"/>
  <c r="H48" i="56"/>
  <c r="I48" i="56" s="1"/>
  <c r="H49" i="56"/>
  <c r="I49" i="56" s="1"/>
  <c r="H50" i="56"/>
  <c r="I50" i="56" s="1"/>
  <c r="H51" i="56"/>
  <c r="I51" i="56" s="1"/>
  <c r="H52" i="56"/>
  <c r="I52" i="56" s="1"/>
  <c r="H53" i="56"/>
  <c r="I53" i="56" s="1"/>
  <c r="H54" i="56"/>
  <c r="I54" i="56" s="1"/>
  <c r="H55" i="56"/>
  <c r="I55" i="56" s="1"/>
  <c r="H56" i="56"/>
  <c r="I56" i="56" s="1"/>
  <c r="H57" i="56"/>
  <c r="I57" i="56" s="1"/>
  <c r="H58" i="56"/>
  <c r="I58" i="56" s="1"/>
  <c r="H59" i="56"/>
  <c r="I59" i="56" s="1"/>
  <c r="H60" i="56"/>
  <c r="I60" i="56" s="1"/>
  <c r="H61" i="56"/>
  <c r="I61" i="56" s="1"/>
  <c r="H62" i="56"/>
  <c r="I62" i="56" s="1"/>
  <c r="H63" i="56"/>
  <c r="I63" i="56" s="1"/>
  <c r="H64" i="56"/>
  <c r="I64" i="56" s="1"/>
  <c r="H100" i="56"/>
  <c r="I100" i="56"/>
  <c r="F101" i="56"/>
  <c r="B101" i="56"/>
  <c r="D66" i="56"/>
  <c r="G65" i="56"/>
  <c r="H65" i="56"/>
  <c r="O87" i="54"/>
  <c r="O87" i="55"/>
  <c r="O87" i="5"/>
  <c r="O87" i="40"/>
  <c r="E32" i="2"/>
  <c r="E33" i="2" s="1"/>
  <c r="E37" i="2" s="1"/>
  <c r="F54" i="2" s="1"/>
  <c r="O87" i="42"/>
  <c r="O87" i="13"/>
  <c r="J100" i="48"/>
  <c r="J99" i="49"/>
  <c r="N99" i="49"/>
  <c r="O99" i="49" s="1"/>
  <c r="P99" i="49" s="1"/>
  <c r="E25" i="1"/>
  <c r="E26" i="1" s="1"/>
  <c r="F53" i="1" s="1"/>
  <c r="M17" i="49"/>
  <c r="I17" i="49"/>
  <c r="K17" i="49"/>
  <c r="D102" i="49"/>
  <c r="B102" i="49" s="1"/>
  <c r="B102" i="48"/>
  <c r="O87" i="29"/>
  <c r="O87" i="30"/>
  <c r="O87" i="24"/>
  <c r="O87" i="27"/>
  <c r="O87" i="8"/>
  <c r="O87" i="31"/>
  <c r="O87" i="6"/>
  <c r="O87" i="38"/>
  <c r="F53" i="2"/>
  <c r="B19" i="45"/>
  <c r="K18" i="45"/>
  <c r="B23" i="27"/>
  <c r="O87" i="46"/>
  <c r="B20" i="37"/>
  <c r="I17" i="46"/>
  <c r="I19" i="37"/>
  <c r="M18" i="45"/>
  <c r="B31" i="10"/>
  <c r="I30" i="10"/>
  <c r="J99" i="55" l="1"/>
  <c r="N99" i="55"/>
  <c r="O99" i="55" s="1"/>
  <c r="P99" i="55" s="1"/>
  <c r="J100" i="58"/>
  <c r="G101" i="59"/>
  <c r="D102" i="59"/>
  <c r="E102" i="59" s="1"/>
  <c r="D102" i="58"/>
  <c r="E102" i="58" s="1"/>
  <c r="G101" i="58"/>
  <c r="J100" i="59"/>
  <c r="I17" i="13"/>
  <c r="J100" i="49"/>
  <c r="D21" i="47"/>
  <c r="J100" i="56"/>
  <c r="I65" i="56"/>
  <c r="I25" i="56"/>
  <c r="N6" i="56"/>
  <c r="N7" i="56" s="1"/>
  <c r="K17" i="57"/>
  <c r="D102" i="56"/>
  <c r="B102" i="56" s="1"/>
  <c r="G101" i="56"/>
  <c r="B66" i="56"/>
  <c r="E66" i="56"/>
  <c r="F66" i="56" s="1"/>
  <c r="N17" i="49"/>
  <c r="N87" i="49"/>
  <c r="L17" i="49"/>
  <c r="M87" i="49"/>
  <c r="E30" i="1"/>
  <c r="E33" i="1" s="1"/>
  <c r="E37" i="1" s="1"/>
  <c r="F54" i="1" s="1"/>
  <c r="F55" i="1" s="1"/>
  <c r="D19" i="55"/>
  <c r="I17" i="55"/>
  <c r="L18" i="45"/>
  <c r="M87" i="45"/>
  <c r="N18" i="45"/>
  <c r="N87" i="45"/>
  <c r="N99" i="48"/>
  <c r="O99" i="48" s="1"/>
  <c r="P99" i="48" s="1"/>
  <c r="J99" i="48"/>
  <c r="V46" i="17"/>
  <c r="M88" i="49"/>
  <c r="N88" i="49"/>
  <c r="O88" i="49" s="1"/>
  <c r="D103" i="48"/>
  <c r="J101" i="48"/>
  <c r="V47" i="17"/>
  <c r="V48" i="17"/>
  <c r="I18" i="45"/>
  <c r="F55" i="2"/>
  <c r="F62" i="2" s="1"/>
  <c r="F65" i="2" s="1"/>
  <c r="F67" i="2" s="1"/>
  <c r="F69" i="2" s="1"/>
  <c r="F70" i="2" s="1"/>
  <c r="F71" i="2" s="1"/>
  <c r="F56" i="2" s="1"/>
  <c r="F57" i="2" s="1"/>
  <c r="I18" i="46"/>
  <c r="B30" i="9"/>
  <c r="B19" i="46"/>
  <c r="I29" i="9"/>
  <c r="I17" i="45"/>
  <c r="I20" i="37"/>
  <c r="O17" i="49" l="1"/>
  <c r="O18" i="45"/>
  <c r="H101" i="58"/>
  <c r="I101" i="58"/>
  <c r="B102" i="58"/>
  <c r="F102" i="58"/>
  <c r="F102" i="59"/>
  <c r="B102" i="59"/>
  <c r="H101" i="59"/>
  <c r="I101" i="59"/>
  <c r="L17" i="57"/>
  <c r="M87" i="57"/>
  <c r="M89" i="49"/>
  <c r="I20" i="47"/>
  <c r="B18" i="57"/>
  <c r="M17" i="57"/>
  <c r="I17" i="57"/>
  <c r="E102" i="56"/>
  <c r="F102" i="56" s="1"/>
  <c r="G102" i="56" s="1"/>
  <c r="I18" i="55"/>
  <c r="I101" i="56"/>
  <c r="H101" i="56"/>
  <c r="D67" i="56"/>
  <c r="E67" i="56" s="1"/>
  <c r="H66" i="56"/>
  <c r="G66" i="56"/>
  <c r="O87" i="49"/>
  <c r="O89" i="49" s="1"/>
  <c r="N89" i="49"/>
  <c r="B19" i="55"/>
  <c r="B18" i="54"/>
  <c r="I17" i="54"/>
  <c r="O87" i="45"/>
  <c r="K17" i="47"/>
  <c r="K17" i="48"/>
  <c r="I18" i="49"/>
  <c r="B103" i="48"/>
  <c r="N88" i="48"/>
  <c r="M88" i="48"/>
  <c r="J101" i="49"/>
  <c r="B18" i="47"/>
  <c r="B18" i="48"/>
  <c r="M17" i="47"/>
  <c r="B19" i="49"/>
  <c r="I17" i="48"/>
  <c r="M17" i="48"/>
  <c r="I19" i="44"/>
  <c r="B20" i="44"/>
  <c r="I23" i="27"/>
  <c r="B24" i="27"/>
  <c r="B28" i="5"/>
  <c r="I19" i="38"/>
  <c r="B23" i="31"/>
  <c r="I26" i="25"/>
  <c r="I24" i="24"/>
  <c r="B19" i="41"/>
  <c r="I28" i="6"/>
  <c r="I28" i="8"/>
  <c r="I29" i="11"/>
  <c r="I27" i="5"/>
  <c r="I19" i="39"/>
  <c r="I22" i="29"/>
  <c r="I27" i="3"/>
  <c r="I18" i="42"/>
  <c r="B23" i="28"/>
  <c r="B22" i="30"/>
  <c r="I26" i="22"/>
  <c r="B25" i="24"/>
  <c r="I25" i="23"/>
  <c r="I18" i="41"/>
  <c r="I17" i="43"/>
  <c r="I30" i="7"/>
  <c r="B20" i="39"/>
  <c r="B19" i="40"/>
  <c r="B19" i="42"/>
  <c r="B32" i="10"/>
  <c r="B28" i="4"/>
  <c r="B18" i="43"/>
  <c r="B29" i="6"/>
  <c r="B27" i="25"/>
  <c r="B26" i="23"/>
  <c r="I27" i="4"/>
  <c r="B21" i="37"/>
  <c r="B31" i="7"/>
  <c r="B29" i="8"/>
  <c r="B30" i="11"/>
  <c r="F62" i="1"/>
  <c r="F65" i="1" s="1"/>
  <c r="F67" i="1" s="1"/>
  <c r="F69" i="1" s="1"/>
  <c r="F76" i="1"/>
  <c r="F77" i="1" s="1"/>
  <c r="B23" i="29"/>
  <c r="B28" i="3"/>
  <c r="I18" i="40"/>
  <c r="I31" i="10"/>
  <c r="I22" i="28"/>
  <c r="B20" i="38"/>
  <c r="B27" i="22"/>
  <c r="I22" i="31"/>
  <c r="I21" i="30"/>
  <c r="F59" i="2"/>
  <c r="F79" i="2" s="1"/>
  <c r="F80" i="2" s="1"/>
  <c r="F82" i="2" s="1"/>
  <c r="F76" i="2"/>
  <c r="F77" i="2" s="1"/>
  <c r="J101" i="59" l="1"/>
  <c r="J101" i="58"/>
  <c r="D103" i="59"/>
  <c r="G102" i="59"/>
  <c r="D103" i="58"/>
  <c r="B103" i="58" s="1"/>
  <c r="G102" i="58"/>
  <c r="N17" i="57"/>
  <c r="O17" i="57" s="1"/>
  <c r="N87" i="57"/>
  <c r="O88" i="48"/>
  <c r="D103" i="56"/>
  <c r="E103" i="56" s="1"/>
  <c r="I66" i="56"/>
  <c r="D19" i="57"/>
  <c r="J101" i="56"/>
  <c r="H102" i="56"/>
  <c r="I102" i="56"/>
  <c r="B67" i="56"/>
  <c r="F67" i="56"/>
  <c r="N17" i="47"/>
  <c r="N87" i="47"/>
  <c r="L17" i="47"/>
  <c r="M87" i="47"/>
  <c r="D19" i="54"/>
  <c r="N17" i="48"/>
  <c r="N87" i="48"/>
  <c r="L17" i="48"/>
  <c r="M87" i="48"/>
  <c r="I18" i="48"/>
  <c r="J102" i="48"/>
  <c r="B20" i="45"/>
  <c r="I19" i="45"/>
  <c r="I18" i="43"/>
  <c r="I20" i="38"/>
  <c r="I20" i="39"/>
  <c r="F70" i="1"/>
  <c r="F71" i="1" s="1"/>
  <c r="F56" i="1" s="1"/>
  <c r="F57" i="1" s="1"/>
  <c r="F59" i="1" s="1"/>
  <c r="F79" i="1" s="1"/>
  <c r="F80" i="1" s="1"/>
  <c r="F82" i="1" s="1"/>
  <c r="I19" i="46"/>
  <c r="B31" i="9"/>
  <c r="I30" i="9"/>
  <c r="B20" i="46"/>
  <c r="E103" i="58" l="1"/>
  <c r="F103" i="58" s="1"/>
  <c r="G103" i="58"/>
  <c r="D104" i="58"/>
  <c r="I102" i="58"/>
  <c r="H102" i="58"/>
  <c r="H102" i="59"/>
  <c r="I102" i="59"/>
  <c r="E103" i="59"/>
  <c r="F103" i="59" s="1"/>
  <c r="B103" i="59"/>
  <c r="F103" i="56"/>
  <c r="B103" i="56"/>
  <c r="O87" i="57"/>
  <c r="O17" i="47"/>
  <c r="I18" i="57"/>
  <c r="J102" i="56"/>
  <c r="B19" i="57"/>
  <c r="I18" i="54"/>
  <c r="D104" i="56"/>
  <c r="G103" i="56"/>
  <c r="D68" i="56"/>
  <c r="E68" i="56" s="1"/>
  <c r="G67" i="56"/>
  <c r="H67" i="56"/>
  <c r="O87" i="47"/>
  <c r="B19" i="54"/>
  <c r="I19" i="49"/>
  <c r="O17" i="48"/>
  <c r="M89" i="48"/>
  <c r="O87" i="48"/>
  <c r="O89" i="48" s="1"/>
  <c r="N89" i="48"/>
  <c r="I20" i="45"/>
  <c r="B19" i="47"/>
  <c r="B19" i="48"/>
  <c r="B20" i="49"/>
  <c r="I20" i="44"/>
  <c r="B21" i="44"/>
  <c r="B25" i="27"/>
  <c r="I24" i="27"/>
  <c r="B20" i="41"/>
  <c r="B24" i="29"/>
  <c r="I31" i="7"/>
  <c r="I29" i="8"/>
  <c r="B29" i="5"/>
  <c r="B21" i="45"/>
  <c r="B33" i="10"/>
  <c r="B26" i="24"/>
  <c r="I27" i="25"/>
  <c r="I26" i="23"/>
  <c r="I30" i="11"/>
  <c r="B30" i="6"/>
  <c r="I23" i="28"/>
  <c r="I22" i="30"/>
  <c r="I28" i="4"/>
  <c r="B30" i="8"/>
  <c r="B28" i="22"/>
  <c r="I19" i="41"/>
  <c r="B19" i="43"/>
  <c r="I23" i="31"/>
  <c r="I28" i="3"/>
  <c r="I19" i="42"/>
  <c r="I25" i="24"/>
  <c r="B24" i="31"/>
  <c r="B21" i="39"/>
  <c r="B27" i="23"/>
  <c r="B23" i="30"/>
  <c r="B20" i="42"/>
  <c r="B29" i="4"/>
  <c r="B32" i="7"/>
  <c r="B22" i="37"/>
  <c r="I28" i="5"/>
  <c r="I32" i="10"/>
  <c r="B28" i="25"/>
  <c r="B31" i="11"/>
  <c r="B20" i="40"/>
  <c r="I29" i="6"/>
  <c r="I23" i="29"/>
  <c r="B24" i="28"/>
  <c r="B29" i="3"/>
  <c r="B21" i="38"/>
  <c r="I27" i="22"/>
  <c r="I19" i="40"/>
  <c r="I21" i="37"/>
  <c r="J102" i="59" l="1"/>
  <c r="H103" i="58"/>
  <c r="I103" i="58"/>
  <c r="D104" i="59"/>
  <c r="G103" i="59"/>
  <c r="E104" i="59"/>
  <c r="J102" i="58"/>
  <c r="E104" i="58"/>
  <c r="F104" i="58" s="1"/>
  <c r="B104" i="58"/>
  <c r="I67" i="56"/>
  <c r="H103" i="56"/>
  <c r="I103" i="56"/>
  <c r="E104" i="56"/>
  <c r="F104" i="56" s="1"/>
  <c r="B104" i="56"/>
  <c r="F68" i="56"/>
  <c r="H68" i="56" s="1"/>
  <c r="B68" i="56"/>
  <c r="I20" i="46"/>
  <c r="D21" i="49"/>
  <c r="B21" i="46"/>
  <c r="B32" i="9"/>
  <c r="I31" i="9"/>
  <c r="J103" i="58" l="1"/>
  <c r="G104" i="58"/>
  <c r="D105" i="58"/>
  <c r="H103" i="59"/>
  <c r="I103" i="59"/>
  <c r="F104" i="59"/>
  <c r="B104" i="59"/>
  <c r="J103" i="56"/>
  <c r="G68" i="56"/>
  <c r="I68" i="56" s="1"/>
  <c r="D105" i="56"/>
  <c r="E105" i="56" s="1"/>
  <c r="G104" i="56"/>
  <c r="D69" i="56"/>
  <c r="E69" i="56" s="1"/>
  <c r="I20" i="49"/>
  <c r="I22" i="37"/>
  <c r="I19" i="48"/>
  <c r="B21" i="49"/>
  <c r="B20" i="47"/>
  <c r="B20" i="48"/>
  <c r="I20" i="41"/>
  <c r="I20" i="40"/>
  <c r="I20" i="42"/>
  <c r="B22" i="44"/>
  <c r="I21" i="44"/>
  <c r="I25" i="27"/>
  <c r="B26" i="27"/>
  <c r="B31" i="6"/>
  <c r="B25" i="31"/>
  <c r="B25" i="28"/>
  <c r="I21" i="45"/>
  <c r="I30" i="6"/>
  <c r="I28" i="22"/>
  <c r="I24" i="31"/>
  <c r="I29" i="4"/>
  <c r="B30" i="3"/>
  <c r="I30" i="8"/>
  <c r="B22" i="39"/>
  <c r="B23" i="37"/>
  <c r="B30" i="4"/>
  <c r="I28" i="25"/>
  <c r="B21" i="40"/>
  <c r="B22" i="45"/>
  <c r="B24" i="30"/>
  <c r="B21" i="41"/>
  <c r="B34" i="10"/>
  <c r="B27" i="24"/>
  <c r="I21" i="39"/>
  <c r="B28" i="23"/>
  <c r="B21" i="42"/>
  <c r="I24" i="29"/>
  <c r="I31" i="11"/>
  <c r="B22" i="38"/>
  <c r="B29" i="22"/>
  <c r="B33" i="7"/>
  <c r="I21" i="38"/>
  <c r="I27" i="23"/>
  <c r="B25" i="29"/>
  <c r="I19" i="43"/>
  <c r="B32" i="11"/>
  <c r="I29" i="5"/>
  <c r="B30" i="5"/>
  <c r="I32" i="7"/>
  <c r="B29" i="25"/>
  <c r="I23" i="30"/>
  <c r="I33" i="10"/>
  <c r="I26" i="24"/>
  <c r="B20" i="43"/>
  <c r="I24" i="28"/>
  <c r="I29" i="3"/>
  <c r="B31" i="8"/>
  <c r="D105" i="59" l="1"/>
  <c r="G104" i="59"/>
  <c r="E105" i="58"/>
  <c r="B105" i="58"/>
  <c r="F105" i="58"/>
  <c r="J103" i="59"/>
  <c r="H104" i="58"/>
  <c r="I104" i="58"/>
  <c r="H104" i="56"/>
  <c r="I104" i="56"/>
  <c r="B105" i="56"/>
  <c r="F105" i="56"/>
  <c r="B69" i="56"/>
  <c r="F69" i="56"/>
  <c r="G69" i="56" s="1"/>
  <c r="I21" i="46"/>
  <c r="B33" i="9"/>
  <c r="I32" i="9"/>
  <c r="B22" i="46"/>
  <c r="H104" i="59" l="1"/>
  <c r="I104" i="59"/>
  <c r="J104" i="58"/>
  <c r="B105" i="59"/>
  <c r="G105" i="58"/>
  <c r="D106" i="58"/>
  <c r="E105" i="59"/>
  <c r="F105" i="59" s="1"/>
  <c r="J104" i="56"/>
  <c r="D106" i="56"/>
  <c r="E106" i="56" s="1"/>
  <c r="G105" i="56"/>
  <c r="D70" i="56"/>
  <c r="E70" i="56" s="1"/>
  <c r="H69" i="56"/>
  <c r="I69" i="56" s="1"/>
  <c r="I22" i="45"/>
  <c r="I23" i="37"/>
  <c r="I20" i="48"/>
  <c r="I21" i="40"/>
  <c r="I22" i="38"/>
  <c r="I21" i="41"/>
  <c r="I21" i="42"/>
  <c r="I22" i="39"/>
  <c r="B21" i="47"/>
  <c r="B21" i="48"/>
  <c r="I20" i="43"/>
  <c r="I22" i="44"/>
  <c r="B23" i="44"/>
  <c r="I26" i="27"/>
  <c r="B27" i="27"/>
  <c r="D23" i="46"/>
  <c r="B28" i="24"/>
  <c r="I32" i="11"/>
  <c r="B26" i="29"/>
  <c r="B22" i="42"/>
  <c r="B30" i="25"/>
  <c r="B32" i="8"/>
  <c r="B22" i="40"/>
  <c r="B35" i="10"/>
  <c r="B21" i="43"/>
  <c r="B32" i="6"/>
  <c r="B24" i="37"/>
  <c r="B26" i="28"/>
  <c r="B25" i="30"/>
  <c r="I28" i="23"/>
  <c r="B23" i="38"/>
  <c r="B31" i="5"/>
  <c r="I34" i="10"/>
  <c r="I30" i="4"/>
  <c r="B33" i="11"/>
  <c r="I31" i="6"/>
  <c r="B26" i="31"/>
  <c r="B23" i="39"/>
  <c r="I29" i="22"/>
  <c r="I31" i="8"/>
  <c r="I33" i="7"/>
  <c r="B31" i="3"/>
  <c r="I25" i="31"/>
  <c r="B30" i="22"/>
  <c r="B23" i="45"/>
  <c r="I24" i="30"/>
  <c r="B29" i="23"/>
  <c r="I29" i="25"/>
  <c r="I27" i="24"/>
  <c r="I30" i="5"/>
  <c r="B22" i="41"/>
  <c r="B34" i="7"/>
  <c r="I30" i="3"/>
  <c r="B31" i="4"/>
  <c r="I25" i="28"/>
  <c r="I25" i="29"/>
  <c r="J104" i="59" l="1"/>
  <c r="E106" i="58"/>
  <c r="F106" i="58" s="1"/>
  <c r="B106" i="58"/>
  <c r="H105" i="58"/>
  <c r="I105" i="58"/>
  <c r="D106" i="59"/>
  <c r="G105" i="59"/>
  <c r="I105" i="56"/>
  <c r="H105" i="56"/>
  <c r="B106" i="56"/>
  <c r="F106" i="56"/>
  <c r="B70" i="56"/>
  <c r="F70" i="56"/>
  <c r="D22" i="48"/>
  <c r="I22" i="46"/>
  <c r="D24" i="44"/>
  <c r="D24" i="45"/>
  <c r="B34" i="9"/>
  <c r="B23" i="46"/>
  <c r="I33" i="9"/>
  <c r="D107" i="58" l="1"/>
  <c r="G106" i="58"/>
  <c r="H105" i="59"/>
  <c r="I105" i="59"/>
  <c r="E106" i="59"/>
  <c r="F106" i="59" s="1"/>
  <c r="B106" i="59"/>
  <c r="J105" i="58"/>
  <c r="I21" i="48"/>
  <c r="I23" i="45"/>
  <c r="D107" i="56"/>
  <c r="B107" i="56" s="1"/>
  <c r="G106" i="56"/>
  <c r="J105" i="56"/>
  <c r="D71" i="56"/>
  <c r="E71" i="56" s="1"/>
  <c r="G70" i="56"/>
  <c r="H70" i="56"/>
  <c r="I24" i="37"/>
  <c r="I22" i="42"/>
  <c r="I23" i="38"/>
  <c r="I22" i="40"/>
  <c r="I21" i="43"/>
  <c r="B22" i="48"/>
  <c r="I27" i="27"/>
  <c r="B24" i="44"/>
  <c r="I23" i="44"/>
  <c r="B28" i="27"/>
  <c r="I23" i="39"/>
  <c r="B27" i="28"/>
  <c r="B23" i="41"/>
  <c r="I32" i="6"/>
  <c r="B35" i="7"/>
  <c r="B36" i="10"/>
  <c r="B25" i="37"/>
  <c r="B34" i="11"/>
  <c r="B31" i="22"/>
  <c r="B24" i="45"/>
  <c r="B33" i="8"/>
  <c r="B22" i="43"/>
  <c r="I26" i="31"/>
  <c r="B31" i="25"/>
  <c r="B32" i="5"/>
  <c r="I30" i="25"/>
  <c r="B32" i="4"/>
  <c r="I28" i="24"/>
  <c r="B27" i="29"/>
  <c r="B23" i="42"/>
  <c r="I32" i="8"/>
  <c r="B32" i="3"/>
  <c r="B30" i="23"/>
  <c r="I34" i="7"/>
  <c r="B24" i="39"/>
  <c r="B26" i="30"/>
  <c r="B29" i="24"/>
  <c r="B23" i="40"/>
  <c r="I35" i="10"/>
  <c r="I26" i="28"/>
  <c r="I25" i="30"/>
  <c r="I31" i="5"/>
  <c r="I33" i="11"/>
  <c r="I30" i="22"/>
  <c r="I22" i="41"/>
  <c r="I31" i="4"/>
  <c r="I26" i="29"/>
  <c r="B33" i="6"/>
  <c r="B24" i="38"/>
  <c r="B27" i="31"/>
  <c r="I31" i="3"/>
  <c r="I29" i="23"/>
  <c r="J105" i="59" l="1"/>
  <c r="D107" i="59"/>
  <c r="G106" i="59"/>
  <c r="H106" i="58"/>
  <c r="I106" i="58"/>
  <c r="E107" i="58"/>
  <c r="F107" i="58" s="1"/>
  <c r="B107" i="58"/>
  <c r="E107" i="56"/>
  <c r="F107" i="56" s="1"/>
  <c r="D108" i="56" s="1"/>
  <c r="E108" i="56" s="1"/>
  <c r="I70" i="56"/>
  <c r="H106" i="56"/>
  <c r="I106" i="56"/>
  <c r="B71" i="56"/>
  <c r="F71" i="56"/>
  <c r="I34" i="9"/>
  <c r="B35" i="9"/>
  <c r="D30" i="24"/>
  <c r="D26" i="37"/>
  <c r="D37" i="10"/>
  <c r="J106" i="58" l="1"/>
  <c r="G107" i="58"/>
  <c r="D108" i="58"/>
  <c r="I106" i="59"/>
  <c r="H106" i="59"/>
  <c r="E107" i="59"/>
  <c r="F107" i="59" s="1"/>
  <c r="B107" i="59"/>
  <c r="G107" i="56"/>
  <c r="I25" i="37"/>
  <c r="J106" i="56"/>
  <c r="H107" i="56"/>
  <c r="I107" i="56"/>
  <c r="F108" i="56"/>
  <c r="B108" i="56"/>
  <c r="D72" i="56"/>
  <c r="E72" i="56" s="1"/>
  <c r="E73" i="56" s="1"/>
  <c r="G71" i="56"/>
  <c r="H71" i="56"/>
  <c r="I24" i="38"/>
  <c r="I23" i="40"/>
  <c r="I23" i="41"/>
  <c r="I22" i="43"/>
  <c r="I31" i="22"/>
  <c r="I28" i="27"/>
  <c r="I36" i="10"/>
  <c r="I31" i="25"/>
  <c r="I27" i="29"/>
  <c r="I34" i="11"/>
  <c r="I29" i="24"/>
  <c r="I32" i="4"/>
  <c r="I27" i="28"/>
  <c r="I35" i="7"/>
  <c r="I32" i="5"/>
  <c r="B29" i="27"/>
  <c r="B33" i="3"/>
  <c r="B28" i="28"/>
  <c r="B31" i="23"/>
  <c r="B30" i="24"/>
  <c r="B34" i="8"/>
  <c r="I24" i="39"/>
  <c r="B34" i="6"/>
  <c r="B28" i="31"/>
  <c r="B32" i="25"/>
  <c r="B24" i="42"/>
  <c r="B24" i="40"/>
  <c r="B27" i="30"/>
  <c r="B24" i="41"/>
  <c r="I23" i="42"/>
  <c r="B28" i="29"/>
  <c r="I32" i="3"/>
  <c r="I27" i="31"/>
  <c r="B35" i="11"/>
  <c r="B33" i="4"/>
  <c r="B37" i="10"/>
  <c r="B26" i="37"/>
  <c r="I30" i="23"/>
  <c r="D36" i="9"/>
  <c r="B36" i="7"/>
  <c r="I33" i="8"/>
  <c r="B23" i="43"/>
  <c r="I26" i="30"/>
  <c r="I33" i="6"/>
  <c r="B25" i="38"/>
  <c r="B25" i="39"/>
  <c r="B32" i="22"/>
  <c r="B33" i="5"/>
  <c r="M88" i="13"/>
  <c r="M89" i="13" s="1"/>
  <c r="N88" i="13"/>
  <c r="J106" i="59" l="1"/>
  <c r="D108" i="59"/>
  <c r="B108" i="59" s="1"/>
  <c r="G107" i="59"/>
  <c r="E108" i="59"/>
  <c r="F108" i="59" s="1"/>
  <c r="E108" i="58"/>
  <c r="F108" i="58" s="1"/>
  <c r="B108" i="58"/>
  <c r="I107" i="58"/>
  <c r="H107" i="58"/>
  <c r="I71" i="56"/>
  <c r="J107" i="56"/>
  <c r="G108" i="56"/>
  <c r="D109" i="56"/>
  <c r="E109" i="56" s="1"/>
  <c r="B72" i="56"/>
  <c r="F72" i="56"/>
  <c r="G72" i="56" s="1"/>
  <c r="G73" i="56" s="1"/>
  <c r="N89" i="13"/>
  <c r="O88" i="13"/>
  <c r="O89" i="13" s="1"/>
  <c r="D34" i="4"/>
  <c r="D29" i="31"/>
  <c r="D33" i="22"/>
  <c r="D26" i="38"/>
  <c r="D37" i="7"/>
  <c r="B36" i="9"/>
  <c r="D36" i="11"/>
  <c r="D29" i="29"/>
  <c r="D28" i="30"/>
  <c r="D25" i="42"/>
  <c r="D29" i="28"/>
  <c r="D25" i="41"/>
  <c r="D34" i="5"/>
  <c r="D25" i="40"/>
  <c r="D35" i="6"/>
  <c r="D32" i="23"/>
  <c r="D34" i="3"/>
  <c r="I35" i="9"/>
  <c r="D33" i="25"/>
  <c r="D35" i="8"/>
  <c r="G108" i="58" l="1"/>
  <c r="D109" i="58"/>
  <c r="J107" i="58"/>
  <c r="G108" i="59"/>
  <c r="D109" i="59"/>
  <c r="I107" i="59"/>
  <c r="H107" i="59"/>
  <c r="H72" i="56"/>
  <c r="H73" i="56" s="1"/>
  <c r="I25" i="38"/>
  <c r="I24" i="42"/>
  <c r="I25" i="39"/>
  <c r="I24" i="40"/>
  <c r="B109" i="56"/>
  <c r="F109" i="56"/>
  <c r="H108" i="56"/>
  <c r="M88" i="56" s="1"/>
  <c r="M89" i="56" s="1"/>
  <c r="I108" i="56"/>
  <c r="N88" i="56" s="1"/>
  <c r="I36" i="7"/>
  <c r="I28" i="31"/>
  <c r="I32" i="22"/>
  <c r="I34" i="8"/>
  <c r="I33" i="5"/>
  <c r="I27" i="30"/>
  <c r="I28" i="29"/>
  <c r="I35" i="11"/>
  <c r="I33" i="3"/>
  <c r="I34" i="6"/>
  <c r="I24" i="41"/>
  <c r="B35" i="8"/>
  <c r="B32" i="23"/>
  <c r="B25" i="40"/>
  <c r="I28" i="28"/>
  <c r="B26" i="38"/>
  <c r="B34" i="4"/>
  <c r="B24" i="43"/>
  <c r="B34" i="5"/>
  <c r="I32" i="25"/>
  <c r="B34" i="3"/>
  <c r="I31" i="23"/>
  <c r="B35" i="6"/>
  <c r="B28" i="30"/>
  <c r="B37" i="7"/>
  <c r="B25" i="41"/>
  <c r="B33" i="25"/>
  <c r="B29" i="28"/>
  <c r="B25" i="42"/>
  <c r="B29" i="29"/>
  <c r="B36" i="11"/>
  <c r="I23" i="43"/>
  <c r="B26" i="39"/>
  <c r="B33" i="22"/>
  <c r="B29" i="31"/>
  <c r="I33" i="4"/>
  <c r="E109" i="59" l="1"/>
  <c r="F109" i="59" s="1"/>
  <c r="B109" i="59"/>
  <c r="I108" i="59"/>
  <c r="H108" i="59"/>
  <c r="M88" i="59" s="1"/>
  <c r="J107" i="59"/>
  <c r="E109" i="58"/>
  <c r="F109" i="58" s="1"/>
  <c r="B109" i="58"/>
  <c r="I108" i="58"/>
  <c r="H108" i="58"/>
  <c r="M88" i="58" s="1"/>
  <c r="O88" i="56"/>
  <c r="O89" i="56" s="1"/>
  <c r="N89" i="56"/>
  <c r="I72" i="56"/>
  <c r="I73" i="56" s="1"/>
  <c r="J108" i="56"/>
  <c r="D110" i="56"/>
  <c r="G109" i="56"/>
  <c r="D25" i="43"/>
  <c r="J108" i="59" l="1"/>
  <c r="G109" i="58"/>
  <c r="D110" i="58"/>
  <c r="M89" i="59"/>
  <c r="O88" i="59"/>
  <c r="O89" i="59" s="1"/>
  <c r="G109" i="59"/>
  <c r="D110" i="59"/>
  <c r="B110" i="59" s="1"/>
  <c r="M89" i="58"/>
  <c r="O88" i="58"/>
  <c r="O89" i="58" s="1"/>
  <c r="J108" i="58"/>
  <c r="I109" i="56"/>
  <c r="H109" i="56"/>
  <c r="E110" i="56"/>
  <c r="F110" i="56" s="1"/>
  <c r="B110" i="56"/>
  <c r="B25" i="43"/>
  <c r="I24" i="43"/>
  <c r="E110" i="59" l="1"/>
  <c r="F110" i="59" s="1"/>
  <c r="E110" i="58"/>
  <c r="F110" i="58" s="1"/>
  <c r="B110" i="58"/>
  <c r="H109" i="59"/>
  <c r="I109" i="59"/>
  <c r="H109" i="58"/>
  <c r="I109" i="58"/>
  <c r="D111" i="56"/>
  <c r="E111" i="56" s="1"/>
  <c r="G110" i="56"/>
  <c r="J109" i="56"/>
  <c r="J109" i="59" l="1"/>
  <c r="D111" i="58"/>
  <c r="E111" i="58" s="1"/>
  <c r="G110" i="58"/>
  <c r="J109" i="58"/>
  <c r="D111" i="59"/>
  <c r="E111" i="59" s="1"/>
  <c r="G110" i="59"/>
  <c r="H110" i="56"/>
  <c r="I110" i="56"/>
  <c r="F111" i="56"/>
  <c r="B111" i="56"/>
  <c r="H110" i="58" l="1"/>
  <c r="I110" i="58"/>
  <c r="F111" i="58"/>
  <c r="B111" i="58"/>
  <c r="H110" i="59"/>
  <c r="I110" i="59"/>
  <c r="B111" i="59"/>
  <c r="F111" i="59"/>
  <c r="J110" i="56"/>
  <c r="D112" i="56"/>
  <c r="E112" i="56" s="1"/>
  <c r="G111" i="56"/>
  <c r="J110" i="59" l="1"/>
  <c r="D112" i="59"/>
  <c r="E112" i="59" s="1"/>
  <c r="G111" i="59"/>
  <c r="G111" i="58"/>
  <c r="D112" i="58"/>
  <c r="J110" i="58"/>
  <c r="I111" i="56"/>
  <c r="H111" i="56"/>
  <c r="F112" i="56"/>
  <c r="B112" i="56"/>
  <c r="B112" i="58" l="1"/>
  <c r="I111" i="58"/>
  <c r="H111" i="58"/>
  <c r="H111" i="59"/>
  <c r="I111" i="59"/>
  <c r="B112" i="59"/>
  <c r="F112" i="59"/>
  <c r="E112" i="58"/>
  <c r="F112" i="58" s="1"/>
  <c r="G112" i="56"/>
  <c r="D113" i="56"/>
  <c r="E113" i="56" s="1"/>
  <c r="J111" i="56"/>
  <c r="G112" i="59" l="1"/>
  <c r="D113" i="59"/>
  <c r="J111" i="58"/>
  <c r="D113" i="58"/>
  <c r="G112" i="58"/>
  <c r="J111" i="59"/>
  <c r="H112" i="56"/>
  <c r="I112" i="56"/>
  <c r="B113" i="56"/>
  <c r="F113" i="56"/>
  <c r="E113" i="59" l="1"/>
  <c r="B113" i="59"/>
  <c r="F113" i="59"/>
  <c r="H112" i="59"/>
  <c r="I112" i="59"/>
  <c r="J112" i="59" s="1"/>
  <c r="I112" i="58"/>
  <c r="H112" i="58"/>
  <c r="E113" i="58"/>
  <c r="F113" i="58" s="1"/>
  <c r="B113" i="58"/>
  <c r="J112" i="56"/>
  <c r="G113" i="56"/>
  <c r="D114" i="56"/>
  <c r="E114" i="56" s="1"/>
  <c r="G113" i="58" l="1"/>
  <c r="D114" i="58"/>
  <c r="E114" i="58" s="1"/>
  <c r="J112" i="58"/>
  <c r="D114" i="59"/>
  <c r="G113" i="59"/>
  <c r="F114" i="56"/>
  <c r="B114" i="56"/>
  <c r="H113" i="56"/>
  <c r="I113" i="56"/>
  <c r="I113" i="59" l="1"/>
  <c r="H113" i="59"/>
  <c r="F114" i="58"/>
  <c r="B114" i="58"/>
  <c r="E114" i="59"/>
  <c r="F114" i="59" s="1"/>
  <c r="B114" i="59"/>
  <c r="H113" i="58"/>
  <c r="I113" i="58"/>
  <c r="J113" i="58" s="1"/>
  <c r="J113" i="56"/>
  <c r="G114" i="56"/>
  <c r="D115" i="56"/>
  <c r="E115" i="56" s="1"/>
  <c r="G114" i="59" l="1"/>
  <c r="D115" i="59"/>
  <c r="E115" i="59" s="1"/>
  <c r="D115" i="58"/>
  <c r="E115" i="58" s="1"/>
  <c r="G114" i="58"/>
  <c r="J113" i="59"/>
  <c r="F115" i="56"/>
  <c r="B115" i="56"/>
  <c r="H114" i="56"/>
  <c r="I114" i="56"/>
  <c r="H114" i="58" l="1"/>
  <c r="I114" i="58"/>
  <c r="B115" i="58"/>
  <c r="F115" i="58"/>
  <c r="F115" i="59"/>
  <c r="B115" i="59"/>
  <c r="I114" i="59"/>
  <c r="H114" i="59"/>
  <c r="J114" i="56"/>
  <c r="G115" i="56"/>
  <c r="D116" i="56"/>
  <c r="J114" i="58" l="1"/>
  <c r="J114" i="59"/>
  <c r="D116" i="58"/>
  <c r="B116" i="58" s="1"/>
  <c r="G115" i="58"/>
  <c r="E116" i="58"/>
  <c r="F116" i="58" s="1"/>
  <c r="D116" i="59"/>
  <c r="G115" i="59"/>
  <c r="B116" i="56"/>
  <c r="E116" i="56"/>
  <c r="F116" i="56" s="1"/>
  <c r="H115" i="56"/>
  <c r="I115" i="56"/>
  <c r="H115" i="59" l="1"/>
  <c r="I115" i="59"/>
  <c r="E116" i="59"/>
  <c r="F116" i="59" s="1"/>
  <c r="B116" i="59"/>
  <c r="D117" i="58"/>
  <c r="E117" i="58" s="1"/>
  <c r="G116" i="58"/>
  <c r="I115" i="58"/>
  <c r="H115" i="58"/>
  <c r="J115" i="56"/>
  <c r="D117" i="56"/>
  <c r="E117" i="56" s="1"/>
  <c r="G116" i="56"/>
  <c r="J115" i="59" l="1"/>
  <c r="J115" i="58"/>
  <c r="H116" i="58"/>
  <c r="I116" i="58"/>
  <c r="F117" i="58"/>
  <c r="B117" i="58"/>
  <c r="G116" i="59"/>
  <c r="D117" i="59"/>
  <c r="H116" i="56"/>
  <c r="I116" i="56"/>
  <c r="F117" i="56"/>
  <c r="B117" i="56"/>
  <c r="J116" i="58" l="1"/>
  <c r="B117" i="59"/>
  <c r="H116" i="59"/>
  <c r="I116" i="59"/>
  <c r="D118" i="58"/>
  <c r="G117" i="58"/>
  <c r="E117" i="59"/>
  <c r="F117" i="59" s="1"/>
  <c r="J116" i="56"/>
  <c r="D118" i="56"/>
  <c r="E118" i="56" s="1"/>
  <c r="G117" i="56"/>
  <c r="J116" i="59" l="1"/>
  <c r="D118" i="59"/>
  <c r="B118" i="59" s="1"/>
  <c r="G117" i="59"/>
  <c r="H117" i="58"/>
  <c r="I117" i="58"/>
  <c r="E118" i="58"/>
  <c r="F118" i="58" s="1"/>
  <c r="B118" i="58"/>
  <c r="H117" i="56"/>
  <c r="I117" i="56"/>
  <c r="F118" i="56"/>
  <c r="B118" i="56"/>
  <c r="E118" i="59" l="1"/>
  <c r="F118" i="59" s="1"/>
  <c r="D119" i="59" s="1"/>
  <c r="B119" i="59" s="1"/>
  <c r="D119" i="58"/>
  <c r="G118" i="58"/>
  <c r="G118" i="59"/>
  <c r="I117" i="59"/>
  <c r="H117" i="59"/>
  <c r="J117" i="58"/>
  <c r="J117" i="56"/>
  <c r="G118" i="56"/>
  <c r="D119" i="56"/>
  <c r="E119" i="56" s="1"/>
  <c r="J117" i="59" l="1"/>
  <c r="E119" i="59"/>
  <c r="F119" i="59" s="1"/>
  <c r="D120" i="59"/>
  <c r="G119" i="59"/>
  <c r="H118" i="59"/>
  <c r="I118" i="59"/>
  <c r="I118" i="58"/>
  <c r="H118" i="58"/>
  <c r="E119" i="58"/>
  <c r="F119" i="58" s="1"/>
  <c r="B119" i="58"/>
  <c r="B119" i="56"/>
  <c r="F119" i="56"/>
  <c r="H118" i="56"/>
  <c r="I118" i="56"/>
  <c r="G119" i="58" l="1"/>
  <c r="D120" i="58"/>
  <c r="E120" i="58" s="1"/>
  <c r="J118" i="59"/>
  <c r="H119" i="59"/>
  <c r="I119" i="59"/>
  <c r="J118" i="58"/>
  <c r="E120" i="59"/>
  <c r="F120" i="59" s="1"/>
  <c r="B120" i="59"/>
  <c r="J118" i="56"/>
  <c r="D120" i="56"/>
  <c r="E120" i="56" s="1"/>
  <c r="G119" i="56"/>
  <c r="J119" i="59" l="1"/>
  <c r="D121" i="59"/>
  <c r="G120" i="59"/>
  <c r="B120" i="58"/>
  <c r="F120" i="58"/>
  <c r="H119" i="58"/>
  <c r="I119" i="58"/>
  <c r="H119" i="56"/>
  <c r="I119" i="56"/>
  <c r="B120" i="56"/>
  <c r="F120" i="56"/>
  <c r="I120" i="59" l="1"/>
  <c r="H120" i="59"/>
  <c r="J119" i="58"/>
  <c r="E121" i="59"/>
  <c r="F121" i="59" s="1"/>
  <c r="B121" i="59"/>
  <c r="D121" i="58"/>
  <c r="G120" i="58"/>
  <c r="J119" i="56"/>
  <c r="D121" i="56"/>
  <c r="G120" i="56"/>
  <c r="D122" i="59" l="1"/>
  <c r="G121" i="59"/>
  <c r="H120" i="58"/>
  <c r="I120" i="58"/>
  <c r="E121" i="58"/>
  <c r="F121" i="58" s="1"/>
  <c r="B121" i="58"/>
  <c r="J120" i="59"/>
  <c r="H120" i="56"/>
  <c r="I120" i="56"/>
  <c r="E121" i="56"/>
  <c r="F121" i="56" s="1"/>
  <c r="B121" i="56"/>
  <c r="J120" i="58" l="1"/>
  <c r="D122" i="58"/>
  <c r="G121" i="58"/>
  <c r="H121" i="59"/>
  <c r="I121" i="59"/>
  <c r="E122" i="59"/>
  <c r="F122" i="59" s="1"/>
  <c r="B122" i="59"/>
  <c r="J120" i="56"/>
  <c r="D122" i="56"/>
  <c r="E122" i="56" s="1"/>
  <c r="G121" i="56"/>
  <c r="J121" i="59" l="1"/>
  <c r="I121" i="58"/>
  <c r="H121" i="58"/>
  <c r="E122" i="58"/>
  <c r="F122" i="58" s="1"/>
  <c r="B122" i="58"/>
  <c r="D123" i="59"/>
  <c r="B123" i="59" s="1"/>
  <c r="G122" i="59"/>
  <c r="H121" i="56"/>
  <c r="I121" i="56"/>
  <c r="B122" i="56"/>
  <c r="F122" i="56"/>
  <c r="J121" i="56" l="1"/>
  <c r="D123" i="58"/>
  <c r="G122" i="58"/>
  <c r="E123" i="59"/>
  <c r="F123" i="59" s="1"/>
  <c r="I122" i="59"/>
  <c r="H122" i="59"/>
  <c r="J121" i="58"/>
  <c r="D123" i="56"/>
  <c r="E123" i="56" s="1"/>
  <c r="G122" i="56"/>
  <c r="E123" i="58" l="1"/>
  <c r="F123" i="58" s="1"/>
  <c r="B123" i="58"/>
  <c r="I122" i="58"/>
  <c r="H122" i="58"/>
  <c r="J122" i="59"/>
  <c r="D124" i="59"/>
  <c r="G123" i="59"/>
  <c r="I122" i="56"/>
  <c r="H122" i="56"/>
  <c r="B123" i="56"/>
  <c r="F123" i="56"/>
  <c r="H123" i="59" l="1"/>
  <c r="I123" i="59"/>
  <c r="E124" i="59"/>
  <c r="F124" i="59" s="1"/>
  <c r="B124" i="59"/>
  <c r="J122" i="58"/>
  <c r="D124" i="58"/>
  <c r="B124" i="58" s="1"/>
  <c r="G123" i="58"/>
  <c r="J122" i="56"/>
  <c r="D124" i="56"/>
  <c r="E124" i="56" s="1"/>
  <c r="G123" i="56"/>
  <c r="J123" i="59" l="1"/>
  <c r="H123" i="58"/>
  <c r="I123" i="58"/>
  <c r="J123" i="58" s="1"/>
  <c r="D125" i="59"/>
  <c r="B125" i="59" s="1"/>
  <c r="G124" i="59"/>
  <c r="E124" i="58"/>
  <c r="F124" i="58" s="1"/>
  <c r="B124" i="56"/>
  <c r="F124" i="56"/>
  <c r="H123" i="56"/>
  <c r="I123" i="56"/>
  <c r="D125" i="58" l="1"/>
  <c r="G124" i="58"/>
  <c r="H124" i="59"/>
  <c r="I124" i="59"/>
  <c r="E125" i="59"/>
  <c r="F125" i="59" s="1"/>
  <c r="J123" i="56"/>
  <c r="D125" i="56"/>
  <c r="E125" i="56" s="1"/>
  <c r="G124" i="56"/>
  <c r="J124" i="59" l="1"/>
  <c r="D126" i="59"/>
  <c r="G125" i="59"/>
  <c r="I124" i="58"/>
  <c r="H124" i="58"/>
  <c r="E125" i="58"/>
  <c r="F125" i="58" s="1"/>
  <c r="B125" i="58"/>
  <c r="H124" i="56"/>
  <c r="I124" i="56"/>
  <c r="B125" i="56"/>
  <c r="F125" i="56"/>
  <c r="G125" i="58" l="1"/>
  <c r="D126" i="58"/>
  <c r="E126" i="58" s="1"/>
  <c r="J124" i="58"/>
  <c r="H125" i="59"/>
  <c r="I125" i="59"/>
  <c r="E126" i="59"/>
  <c r="F126" i="59" s="1"/>
  <c r="B126" i="59"/>
  <c r="J124" i="56"/>
  <c r="D126" i="56"/>
  <c r="E126" i="56" s="1"/>
  <c r="G125" i="56"/>
  <c r="J125" i="59" l="1"/>
  <c r="D127" i="59"/>
  <c r="G126" i="59"/>
  <c r="F126" i="58"/>
  <c r="B126" i="58"/>
  <c r="I125" i="58"/>
  <c r="H125" i="58"/>
  <c r="H125" i="56"/>
  <c r="I125" i="56"/>
  <c r="F126" i="56"/>
  <c r="B126" i="56"/>
  <c r="D127" i="58" l="1"/>
  <c r="G126" i="58"/>
  <c r="J125" i="58"/>
  <c r="H126" i="59"/>
  <c r="I126" i="59"/>
  <c r="E127" i="59"/>
  <c r="F127" i="59" s="1"/>
  <c r="B127" i="59"/>
  <c r="J125" i="56"/>
  <c r="D127" i="56"/>
  <c r="E127" i="56" s="1"/>
  <c r="G126" i="56"/>
  <c r="G127" i="59" l="1"/>
  <c r="D128" i="59"/>
  <c r="I126" i="58"/>
  <c r="H126" i="58"/>
  <c r="J126" i="59"/>
  <c r="E127" i="58"/>
  <c r="F127" i="58" s="1"/>
  <c r="B127" i="58"/>
  <c r="F127" i="56"/>
  <c r="B127" i="56"/>
  <c r="H126" i="56"/>
  <c r="I126" i="56"/>
  <c r="J126" i="58" l="1"/>
  <c r="G127" i="58"/>
  <c r="D128" i="58"/>
  <c r="E128" i="59"/>
  <c r="F128" i="59" s="1"/>
  <c r="B128" i="59"/>
  <c r="H127" i="59"/>
  <c r="I127" i="59"/>
  <c r="J126" i="56"/>
  <c r="D128" i="56"/>
  <c r="E128" i="56" s="1"/>
  <c r="G127" i="56"/>
  <c r="J127" i="59" l="1"/>
  <c r="D129" i="59"/>
  <c r="E129" i="59" s="1"/>
  <c r="G128" i="59"/>
  <c r="E128" i="58"/>
  <c r="B128" i="58"/>
  <c r="F128" i="58"/>
  <c r="H127" i="58"/>
  <c r="I127" i="58"/>
  <c r="H127" i="56"/>
  <c r="I127" i="56"/>
  <c r="F128" i="56"/>
  <c r="B128" i="56"/>
  <c r="J127" i="58" l="1"/>
  <c r="H128" i="59"/>
  <c r="I128" i="59"/>
  <c r="D129" i="58"/>
  <c r="G128" i="58"/>
  <c r="F129" i="59"/>
  <c r="B129" i="59"/>
  <c r="J127" i="56"/>
  <c r="D129" i="56"/>
  <c r="E129" i="56" s="1"/>
  <c r="G128" i="56"/>
  <c r="J128" i="59" l="1"/>
  <c r="H128" i="58"/>
  <c r="I128" i="58"/>
  <c r="D130" i="59"/>
  <c r="G129" i="59"/>
  <c r="E129" i="58"/>
  <c r="F129" i="58" s="1"/>
  <c r="B129" i="58"/>
  <c r="H128" i="56"/>
  <c r="I128" i="56"/>
  <c r="F129" i="56"/>
  <c r="B129" i="56"/>
  <c r="J128" i="58" l="1"/>
  <c r="G129" i="58"/>
  <c r="D130" i="58"/>
  <c r="H129" i="59"/>
  <c r="I129" i="59"/>
  <c r="E130" i="59"/>
  <c r="F130" i="59" s="1"/>
  <c r="B130" i="59"/>
  <c r="J128" i="56"/>
  <c r="D130" i="56"/>
  <c r="E130" i="56" s="1"/>
  <c r="G129" i="56"/>
  <c r="D131" i="59" l="1"/>
  <c r="G130" i="59"/>
  <c r="J129" i="59"/>
  <c r="E130" i="58"/>
  <c r="F130" i="58" s="1"/>
  <c r="B130" i="58"/>
  <c r="H129" i="58"/>
  <c r="I129" i="58"/>
  <c r="H129" i="56"/>
  <c r="I129" i="56"/>
  <c r="F130" i="56"/>
  <c r="B130" i="56"/>
  <c r="J129" i="58" l="1"/>
  <c r="D131" i="58"/>
  <c r="G130" i="58"/>
  <c r="I130" i="59"/>
  <c r="H130" i="59"/>
  <c r="E131" i="59"/>
  <c r="F131" i="59" s="1"/>
  <c r="B131" i="59"/>
  <c r="J129" i="56"/>
  <c r="D131" i="56"/>
  <c r="E131" i="56" s="1"/>
  <c r="G130" i="56"/>
  <c r="D132" i="59" l="1"/>
  <c r="G131" i="59"/>
  <c r="J130" i="59"/>
  <c r="J155" i="59" s="1"/>
  <c r="H130" i="58"/>
  <c r="I130" i="58"/>
  <c r="E131" i="58"/>
  <c r="F131" i="58" s="1"/>
  <c r="B131" i="58"/>
  <c r="B131" i="56"/>
  <c r="F131" i="56"/>
  <c r="H130" i="56"/>
  <c r="I130" i="56"/>
  <c r="J130" i="58" l="1"/>
  <c r="J155" i="58" s="1"/>
  <c r="G131" i="58"/>
  <c r="D132" i="58"/>
  <c r="H131" i="59"/>
  <c r="I131" i="59"/>
  <c r="E132" i="59"/>
  <c r="F132" i="59" s="1"/>
  <c r="B132" i="59"/>
  <c r="J130" i="56"/>
  <c r="J155" i="56" s="1"/>
  <c r="D132" i="56"/>
  <c r="E132" i="56" s="1"/>
  <c r="G131" i="56"/>
  <c r="D133" i="59" l="1"/>
  <c r="G132" i="59"/>
  <c r="E132" i="58"/>
  <c r="F132" i="58" s="1"/>
  <c r="B132" i="58"/>
  <c r="H131" i="58"/>
  <c r="I131" i="58"/>
  <c r="F132" i="56"/>
  <c r="B132" i="56"/>
  <c r="H131" i="56"/>
  <c r="I131" i="56"/>
  <c r="G132" i="58" l="1"/>
  <c r="D133" i="58"/>
  <c r="H132" i="59"/>
  <c r="I132" i="59"/>
  <c r="E133" i="59"/>
  <c r="F133" i="59" s="1"/>
  <c r="B133" i="59"/>
  <c r="D133" i="56"/>
  <c r="E133" i="56" s="1"/>
  <c r="G132" i="56"/>
  <c r="D134" i="59" l="1"/>
  <c r="E134" i="59" s="1"/>
  <c r="G133" i="59"/>
  <c r="E133" i="58"/>
  <c r="F133" i="58" s="1"/>
  <c r="B133" i="58"/>
  <c r="I132" i="58"/>
  <c r="H132" i="58"/>
  <c r="H132" i="56"/>
  <c r="I132" i="56"/>
  <c r="B133" i="56"/>
  <c r="F133" i="56"/>
  <c r="D134" i="58" l="1"/>
  <c r="G133" i="58"/>
  <c r="H133" i="59"/>
  <c r="I133" i="59"/>
  <c r="B134" i="59"/>
  <c r="F134" i="59"/>
  <c r="D134" i="56"/>
  <c r="E134" i="56" s="1"/>
  <c r="G133" i="56"/>
  <c r="D135" i="59" l="1"/>
  <c r="G134" i="59"/>
  <c r="I133" i="58"/>
  <c r="H133" i="58"/>
  <c r="E134" i="58"/>
  <c r="F134" i="58" s="1"/>
  <c r="B134" i="58"/>
  <c r="H133" i="56"/>
  <c r="I133" i="56"/>
  <c r="F134" i="56"/>
  <c r="B134" i="56"/>
  <c r="G134" i="58" l="1"/>
  <c r="D135" i="58"/>
  <c r="B135" i="59"/>
  <c r="E135" i="59"/>
  <c r="F135" i="59" s="1"/>
  <c r="I134" i="59"/>
  <c r="H134" i="59"/>
  <c r="D135" i="56"/>
  <c r="E135" i="56" s="1"/>
  <c r="G134" i="56"/>
  <c r="D136" i="59" l="1"/>
  <c r="E136" i="59" s="1"/>
  <c r="G135" i="59"/>
  <c r="E135" i="58"/>
  <c r="F135" i="58" s="1"/>
  <c r="B135" i="58"/>
  <c r="H134" i="58"/>
  <c r="I134" i="58"/>
  <c r="H134" i="56"/>
  <c r="I134" i="56"/>
  <c r="B135" i="56"/>
  <c r="F135" i="56"/>
  <c r="G135" i="58" l="1"/>
  <c r="D136" i="58"/>
  <c r="H135" i="59"/>
  <c r="I135" i="59"/>
  <c r="B136" i="59"/>
  <c r="F136" i="59"/>
  <c r="D136" i="56"/>
  <c r="E136" i="56" s="1"/>
  <c r="G135" i="56"/>
  <c r="E136" i="58" l="1"/>
  <c r="F136" i="58" s="1"/>
  <c r="B136" i="58"/>
  <c r="I135" i="58"/>
  <c r="H135" i="58"/>
  <c r="D137" i="59"/>
  <c r="E137" i="59" s="1"/>
  <c r="G136" i="59"/>
  <c r="H135" i="56"/>
  <c r="I135" i="56"/>
  <c r="F136" i="56"/>
  <c r="B136" i="56"/>
  <c r="G136" i="58" l="1"/>
  <c r="D137" i="58"/>
  <c r="H136" i="59"/>
  <c r="I136" i="59"/>
  <c r="F137" i="59"/>
  <c r="B137" i="59"/>
  <c r="D137" i="56"/>
  <c r="E137" i="56" s="1"/>
  <c r="G136" i="56"/>
  <c r="D138" i="59" l="1"/>
  <c r="G137" i="59"/>
  <c r="E137" i="58"/>
  <c r="F137" i="58" s="1"/>
  <c r="B137" i="58"/>
  <c r="I136" i="58"/>
  <c r="H136" i="58"/>
  <c r="H136" i="56"/>
  <c r="I136" i="56"/>
  <c r="F137" i="56"/>
  <c r="B137" i="56"/>
  <c r="G137" i="58" l="1"/>
  <c r="D138" i="58"/>
  <c r="H137" i="59"/>
  <c r="I137" i="59"/>
  <c r="E138" i="59"/>
  <c r="F138" i="59" s="1"/>
  <c r="B138" i="59"/>
  <c r="D138" i="56"/>
  <c r="E138" i="56" s="1"/>
  <c r="G137" i="56"/>
  <c r="E138" i="58" l="1"/>
  <c r="F138" i="58" s="1"/>
  <c r="B138" i="58"/>
  <c r="H137" i="58"/>
  <c r="I137" i="58"/>
  <c r="D139" i="59"/>
  <c r="G138" i="59"/>
  <c r="H137" i="56"/>
  <c r="I137" i="56"/>
  <c r="F138" i="56"/>
  <c r="B138" i="56"/>
  <c r="H138" i="59" l="1"/>
  <c r="I138" i="59"/>
  <c r="E139" i="59"/>
  <c r="F139" i="59" s="1"/>
  <c r="B139" i="59"/>
  <c r="D139" i="58"/>
  <c r="G138" i="58"/>
  <c r="D139" i="56"/>
  <c r="E139" i="56" s="1"/>
  <c r="G138" i="56"/>
  <c r="H138" i="58" l="1"/>
  <c r="I138" i="58"/>
  <c r="E139" i="58"/>
  <c r="F139" i="58" s="1"/>
  <c r="B139" i="58"/>
  <c r="D140" i="59"/>
  <c r="G139" i="59"/>
  <c r="H138" i="56"/>
  <c r="I138" i="56"/>
  <c r="F139" i="56"/>
  <c r="B139" i="56"/>
  <c r="B140" i="59" l="1"/>
  <c r="H139" i="59"/>
  <c r="I139" i="59"/>
  <c r="D140" i="58"/>
  <c r="G139" i="58"/>
  <c r="E140" i="59"/>
  <c r="F140" i="59" s="1"/>
  <c r="D140" i="56"/>
  <c r="E140" i="56" s="1"/>
  <c r="G139" i="56"/>
  <c r="D141" i="59" l="1"/>
  <c r="G140" i="59"/>
  <c r="E140" i="58"/>
  <c r="F140" i="58" s="1"/>
  <c r="B140" i="58"/>
  <c r="H139" i="58"/>
  <c r="I139" i="58"/>
  <c r="H139" i="56"/>
  <c r="I139" i="56"/>
  <c r="B140" i="56"/>
  <c r="F140" i="56"/>
  <c r="D141" i="58" l="1"/>
  <c r="G140" i="58"/>
  <c r="H140" i="59"/>
  <c r="I140" i="59"/>
  <c r="E141" i="59"/>
  <c r="F141" i="59" s="1"/>
  <c r="B141" i="59"/>
  <c r="D141" i="56"/>
  <c r="E141" i="56" s="1"/>
  <c r="G140" i="56"/>
  <c r="D142" i="59" l="1"/>
  <c r="E142" i="59" s="1"/>
  <c r="G141" i="59"/>
  <c r="I140" i="58"/>
  <c r="H140" i="58"/>
  <c r="E141" i="58"/>
  <c r="F141" i="58" s="1"/>
  <c r="B141" i="58"/>
  <c r="H140" i="56"/>
  <c r="I140" i="56"/>
  <c r="F141" i="56"/>
  <c r="B141" i="56"/>
  <c r="G141" i="58" l="1"/>
  <c r="D142" i="58"/>
  <c r="I141" i="59"/>
  <c r="H141" i="59"/>
  <c r="F142" i="59"/>
  <c r="B142" i="59"/>
  <c r="D142" i="56"/>
  <c r="E142" i="56" s="1"/>
  <c r="G141" i="56"/>
  <c r="D143" i="59" l="1"/>
  <c r="E143" i="59" s="1"/>
  <c r="G142" i="59"/>
  <c r="E142" i="58"/>
  <c r="F142" i="58" s="1"/>
  <c r="B142" i="58"/>
  <c r="H141" i="58"/>
  <c r="I141" i="58"/>
  <c r="I141" i="56"/>
  <c r="H141" i="56"/>
  <c r="B142" i="56"/>
  <c r="F142" i="56"/>
  <c r="D143" i="58" l="1"/>
  <c r="B143" i="58" s="1"/>
  <c r="G142" i="58"/>
  <c r="H142" i="59"/>
  <c r="I142" i="59"/>
  <c r="B143" i="59"/>
  <c r="F143" i="59"/>
  <c r="D143" i="56"/>
  <c r="E143" i="56" s="1"/>
  <c r="G142" i="56"/>
  <c r="E143" i="58" l="1"/>
  <c r="F143" i="58" s="1"/>
  <c r="G143" i="58" s="1"/>
  <c r="I142" i="58"/>
  <c r="H142" i="58"/>
  <c r="D144" i="59"/>
  <c r="E144" i="59" s="1"/>
  <c r="G143" i="59"/>
  <c r="H142" i="56"/>
  <c r="I142" i="56"/>
  <c r="B143" i="56"/>
  <c r="F143" i="56"/>
  <c r="D144" i="58" l="1"/>
  <c r="H143" i="58"/>
  <c r="I143" i="58"/>
  <c r="I143" i="59"/>
  <c r="H143" i="59"/>
  <c r="B144" i="59"/>
  <c r="F144" i="59"/>
  <c r="E144" i="58"/>
  <c r="F144" i="58" s="1"/>
  <c r="B144" i="58"/>
  <c r="D144" i="56"/>
  <c r="E144" i="56" s="1"/>
  <c r="G143" i="56"/>
  <c r="G144" i="58" l="1"/>
  <c r="D145" i="58"/>
  <c r="D145" i="59"/>
  <c r="G144" i="59"/>
  <c r="H143" i="56"/>
  <c r="I143" i="56"/>
  <c r="B144" i="56"/>
  <c r="F144" i="56"/>
  <c r="B145" i="59" l="1"/>
  <c r="H144" i="59"/>
  <c r="I144" i="59"/>
  <c r="E145" i="58"/>
  <c r="F145" i="58" s="1"/>
  <c r="B145" i="58"/>
  <c r="E145" i="59"/>
  <c r="F145" i="59" s="1"/>
  <c r="I144" i="58"/>
  <c r="H144" i="58"/>
  <c r="D145" i="56"/>
  <c r="E145" i="56" s="1"/>
  <c r="G144" i="56"/>
  <c r="D146" i="59" l="1"/>
  <c r="E146" i="59" s="1"/>
  <c r="G145" i="59"/>
  <c r="G145" i="58"/>
  <c r="D146" i="58"/>
  <c r="H144" i="56"/>
  <c r="I144" i="56"/>
  <c r="F145" i="56"/>
  <c r="B145" i="56"/>
  <c r="E146" i="58" l="1"/>
  <c r="F146" i="58" s="1"/>
  <c r="B146" i="58"/>
  <c r="H145" i="58"/>
  <c r="I145" i="58"/>
  <c r="H145" i="59"/>
  <c r="I145" i="59"/>
  <c r="F146" i="59"/>
  <c r="B146" i="59"/>
  <c r="D146" i="56"/>
  <c r="E146" i="56" s="1"/>
  <c r="G145" i="56"/>
  <c r="D147" i="58" l="1"/>
  <c r="G146" i="58"/>
  <c r="D147" i="59"/>
  <c r="E147" i="59" s="1"/>
  <c r="G146" i="59"/>
  <c r="I145" i="56"/>
  <c r="H145" i="56"/>
  <c r="F146" i="56"/>
  <c r="B146" i="56"/>
  <c r="H146" i="59" l="1"/>
  <c r="I146" i="59"/>
  <c r="B147" i="59"/>
  <c r="F147" i="59"/>
  <c r="H146" i="58"/>
  <c r="I146" i="58"/>
  <c r="E147" i="58"/>
  <c r="F147" i="58" s="1"/>
  <c r="B147" i="58"/>
  <c r="D147" i="56"/>
  <c r="E147" i="56" s="1"/>
  <c r="G146" i="56"/>
  <c r="D148" i="58" l="1"/>
  <c r="G147" i="58"/>
  <c r="D148" i="59"/>
  <c r="G147" i="59"/>
  <c r="I146" i="56"/>
  <c r="H146" i="56"/>
  <c r="F147" i="56"/>
  <c r="B147" i="56"/>
  <c r="I147" i="59" l="1"/>
  <c r="H147" i="59"/>
  <c r="E148" i="59"/>
  <c r="F148" i="59" s="1"/>
  <c r="B148" i="59"/>
  <c r="H147" i="58"/>
  <c r="I147" i="58"/>
  <c r="E148" i="58"/>
  <c r="F148" i="58" s="1"/>
  <c r="B148" i="58"/>
  <c r="G147" i="56"/>
  <c r="D148" i="56"/>
  <c r="D149" i="58" l="1"/>
  <c r="B149" i="58" s="1"/>
  <c r="G148" i="58"/>
  <c r="D149" i="59"/>
  <c r="G148" i="59"/>
  <c r="B148" i="56"/>
  <c r="E148" i="56"/>
  <c r="F148" i="56" s="1"/>
  <c r="I147" i="56"/>
  <c r="H147" i="56"/>
  <c r="E149" i="58" l="1"/>
  <c r="F149" i="58" s="1"/>
  <c r="D150" i="58" s="1"/>
  <c r="H148" i="59"/>
  <c r="I148" i="59"/>
  <c r="E149" i="59"/>
  <c r="F149" i="59" s="1"/>
  <c r="B149" i="59"/>
  <c r="I148" i="58"/>
  <c r="H148" i="58"/>
  <c r="D149" i="56"/>
  <c r="E149" i="56" s="1"/>
  <c r="G148" i="56"/>
  <c r="G149" i="58" l="1"/>
  <c r="D150" i="59"/>
  <c r="E150" i="59" s="1"/>
  <c r="G149" i="59"/>
  <c r="H149" i="58"/>
  <c r="I149" i="58"/>
  <c r="E150" i="58"/>
  <c r="F150" i="58" s="1"/>
  <c r="B150" i="58"/>
  <c r="I148" i="56"/>
  <c r="H148" i="56"/>
  <c r="B149" i="56"/>
  <c r="F149" i="56"/>
  <c r="D151" i="58" l="1"/>
  <c r="G150" i="58"/>
  <c r="H149" i="59"/>
  <c r="I149" i="59"/>
  <c r="F150" i="59"/>
  <c r="B150" i="59"/>
  <c r="D150" i="56"/>
  <c r="E150" i="56" s="1"/>
  <c r="G149" i="56"/>
  <c r="D151" i="59" l="1"/>
  <c r="E151" i="59" s="1"/>
  <c r="G150" i="59"/>
  <c r="I150" i="58"/>
  <c r="H150" i="58"/>
  <c r="E151" i="58"/>
  <c r="F151" i="58" s="1"/>
  <c r="B151" i="58"/>
  <c r="I149" i="56"/>
  <c r="H149" i="56"/>
  <c r="F150" i="56"/>
  <c r="B150" i="56"/>
  <c r="G151" i="58" l="1"/>
  <c r="D152" i="58"/>
  <c r="H150" i="59"/>
  <c r="I150" i="59"/>
  <c r="B151" i="59"/>
  <c r="F151" i="59"/>
  <c r="G150" i="56"/>
  <c r="D151" i="56"/>
  <c r="E151" i="56" s="1"/>
  <c r="G151" i="59" l="1"/>
  <c r="D152" i="59"/>
  <c r="E152" i="59" s="1"/>
  <c r="E152" i="58"/>
  <c r="F152" i="58" s="1"/>
  <c r="B152" i="58"/>
  <c r="H151" i="58"/>
  <c r="I151" i="58"/>
  <c r="B151" i="56"/>
  <c r="F151" i="56"/>
  <c r="I150" i="56"/>
  <c r="H150" i="56"/>
  <c r="D153" i="58" l="1"/>
  <c r="B153" i="58" s="1"/>
  <c r="G152" i="58"/>
  <c r="F152" i="59"/>
  <c r="B152" i="59"/>
  <c r="H151" i="59"/>
  <c r="I151" i="59"/>
  <c r="D152" i="56"/>
  <c r="G151" i="56"/>
  <c r="E153" i="58" l="1"/>
  <c r="F153" i="58" s="1"/>
  <c r="D154" i="58" s="1"/>
  <c r="D153" i="59"/>
  <c r="G152" i="59"/>
  <c r="H152" i="58"/>
  <c r="I152" i="58"/>
  <c r="I151" i="56"/>
  <c r="H151" i="56"/>
  <c r="B152" i="56"/>
  <c r="E152" i="56"/>
  <c r="F152" i="56" s="1"/>
  <c r="G153" i="58" l="1"/>
  <c r="H153" i="58" s="1"/>
  <c r="E154" i="58"/>
  <c r="E155" i="58" s="1"/>
  <c r="B154" i="58"/>
  <c r="I153" i="58"/>
  <c r="I152" i="59"/>
  <c r="H152" i="59"/>
  <c r="E153" i="59"/>
  <c r="F153" i="59" s="1"/>
  <c r="B153" i="59"/>
  <c r="D153" i="56"/>
  <c r="E153" i="56" s="1"/>
  <c r="G152" i="56"/>
  <c r="F154" i="58" l="1"/>
  <c r="G154" i="58" s="1"/>
  <c r="I154" i="58" s="1"/>
  <c r="I155" i="58" s="1"/>
  <c r="D154" i="59"/>
  <c r="G153" i="59"/>
  <c r="H152" i="56"/>
  <c r="I152" i="56"/>
  <c r="B153" i="56"/>
  <c r="F153" i="56"/>
  <c r="H154" i="58" l="1"/>
  <c r="H155" i="58" s="1"/>
  <c r="H153" i="59"/>
  <c r="I153" i="59"/>
  <c r="E154" i="59"/>
  <c r="E155" i="59" s="1"/>
  <c r="B154" i="59"/>
  <c r="D154" i="56"/>
  <c r="E154" i="56" s="1"/>
  <c r="E155" i="56" s="1"/>
  <c r="G153" i="56"/>
  <c r="F154" i="59" l="1"/>
  <c r="G154" i="59" s="1"/>
  <c r="H154" i="59" s="1"/>
  <c r="H155" i="59" s="1"/>
  <c r="H153" i="56"/>
  <c r="I153" i="56"/>
  <c r="B154" i="56"/>
  <c r="F154" i="56"/>
  <c r="G154" i="56" s="1"/>
  <c r="I154" i="59" l="1"/>
  <c r="I155" i="59" s="1"/>
  <c r="H154" i="56"/>
  <c r="H155" i="56" s="1"/>
  <c r="I154" i="56"/>
  <c r="I155" i="56" s="1"/>
  <c r="F90" i="2" l="1"/>
  <c r="F91" i="2" s="1"/>
  <c r="F92" i="2" s="1"/>
  <c r="F93" i="2" s="1"/>
  <c r="D95" i="58" l="1"/>
  <c r="D95" i="59"/>
  <c r="J96" i="57"/>
  <c r="D95" i="56"/>
  <c r="J96" i="55"/>
  <c r="J96" i="54"/>
  <c r="D95" i="47"/>
  <c r="J96" i="47" s="1"/>
  <c r="E102" i="47" s="1"/>
  <c r="F102" i="47" s="1"/>
  <c r="G102" i="47" s="1"/>
  <c r="D95" i="49"/>
  <c r="J96" i="49" s="1"/>
  <c r="D95" i="48"/>
  <c r="J96" i="48" s="1"/>
  <c r="D95" i="44"/>
  <c r="J96" i="44" s="1"/>
  <c r="J96" i="13"/>
  <c r="D95" i="38"/>
  <c r="J96" i="38" s="1"/>
  <c r="D95" i="45"/>
  <c r="J96" i="45" s="1"/>
  <c r="D95" i="46"/>
  <c r="J96" i="46" s="1"/>
  <c r="D95" i="42"/>
  <c r="J96" i="42" s="1"/>
  <c r="D95" i="41"/>
  <c r="J96" i="41" s="1"/>
  <c r="D95" i="11"/>
  <c r="J96" i="11" s="1"/>
  <c r="D95" i="25"/>
  <c r="J96" i="25" s="1"/>
  <c r="D95" i="23"/>
  <c r="J96" i="23" s="1"/>
  <c r="D95" i="9"/>
  <c r="J96" i="9" s="1"/>
  <c r="D95" i="7"/>
  <c r="J96" i="7" s="1"/>
  <c r="D95" i="24"/>
  <c r="J96" i="24" s="1"/>
  <c r="D95" i="6"/>
  <c r="J96" i="6" s="1"/>
  <c r="D95" i="29"/>
  <c r="J96" i="29" s="1"/>
  <c r="D95" i="22"/>
  <c r="J96" i="22" s="1"/>
  <c r="D95" i="10"/>
  <c r="J96" i="10" s="1"/>
  <c r="D95" i="40"/>
  <c r="J96" i="40" s="1"/>
  <c r="D95" i="28"/>
  <c r="J96" i="28" s="1"/>
  <c r="D95" i="43"/>
  <c r="J96" i="43" s="1"/>
  <c r="D95" i="27"/>
  <c r="J96" i="27" s="1"/>
  <c r="D95" i="3"/>
  <c r="J96" i="3" s="1"/>
  <c r="D95" i="31"/>
  <c r="J96" i="31" s="1"/>
  <c r="D95" i="8"/>
  <c r="J96" i="8" s="1"/>
  <c r="D95" i="5"/>
  <c r="J96" i="5" s="1"/>
  <c r="D95" i="4"/>
  <c r="J96" i="4" s="1"/>
  <c r="D95" i="37"/>
  <c r="J96" i="37" s="1"/>
  <c r="D95" i="39"/>
  <c r="J96" i="39" s="1"/>
  <c r="D95" i="30"/>
  <c r="J96" i="30" s="1"/>
  <c r="E102" i="49" l="1"/>
  <c r="H102" i="47"/>
  <c r="I102" i="47"/>
  <c r="E100" i="55"/>
  <c r="F100" i="55" s="1"/>
  <c r="E103" i="48"/>
  <c r="E100" i="57"/>
  <c r="F100" i="57" s="1"/>
  <c r="E100" i="13"/>
  <c r="F100" i="13" s="1"/>
  <c r="E100" i="54"/>
  <c r="F100" i="54" s="1"/>
  <c r="E101" i="54"/>
  <c r="B100" i="44"/>
  <c r="B100" i="45"/>
  <c r="N100" i="38"/>
  <c r="O100" i="38" s="1"/>
  <c r="L100" i="38"/>
  <c r="M100" i="38" s="1"/>
  <c r="B100" i="42"/>
  <c r="B100" i="43"/>
  <c r="B100" i="41"/>
  <c r="F103" i="48" l="1"/>
  <c r="G100" i="55"/>
  <c r="D101" i="55"/>
  <c r="E101" i="55" s="1"/>
  <c r="F101" i="55" s="1"/>
  <c r="J102" i="47"/>
  <c r="F102" i="49"/>
  <c r="G100" i="57"/>
  <c r="D101" i="57"/>
  <c r="F101" i="57" s="1"/>
  <c r="E101" i="57"/>
  <c r="D101" i="13"/>
  <c r="B101" i="13" s="1"/>
  <c r="G100" i="13"/>
  <c r="G100" i="54"/>
  <c r="D101" i="54"/>
  <c r="F101" i="54" s="1"/>
  <c r="B100" i="55"/>
  <c r="B100" i="54"/>
  <c r="B100" i="46"/>
  <c r="J99" i="45"/>
  <c r="P100" i="38"/>
  <c r="J99" i="41"/>
  <c r="J99" i="43"/>
  <c r="G102" i="49" l="1"/>
  <c r="D103" i="49"/>
  <c r="B103" i="49" s="1"/>
  <c r="E103" i="49"/>
  <c r="G101" i="55"/>
  <c r="D102" i="55"/>
  <c r="E102" i="55"/>
  <c r="F102" i="55" s="1"/>
  <c r="H100" i="55"/>
  <c r="L100" i="55" s="1"/>
  <c r="M100" i="55" s="1"/>
  <c r="I100" i="55"/>
  <c r="D104" i="48"/>
  <c r="B104" i="48" s="1"/>
  <c r="G103" i="48"/>
  <c r="E104" i="48"/>
  <c r="D102" i="57"/>
  <c r="G101" i="57"/>
  <c r="E102" i="57"/>
  <c r="I100" i="57"/>
  <c r="H100" i="57"/>
  <c r="I100" i="13"/>
  <c r="H100" i="13"/>
  <c r="L100" i="13" s="1"/>
  <c r="M100" i="13" s="1"/>
  <c r="E101" i="13"/>
  <c r="F101" i="13" s="1"/>
  <c r="D102" i="54"/>
  <c r="G101" i="54"/>
  <c r="E102" i="54"/>
  <c r="H100" i="54"/>
  <c r="I100" i="54"/>
  <c r="B100" i="57"/>
  <c r="B101" i="47"/>
  <c r="B101" i="45"/>
  <c r="J99" i="46"/>
  <c r="J99" i="44"/>
  <c r="B101" i="42"/>
  <c r="B101" i="44"/>
  <c r="J99" i="42"/>
  <c r="B101" i="41"/>
  <c r="B101" i="38"/>
  <c r="H101" i="55" l="1"/>
  <c r="L101" i="55" s="1"/>
  <c r="M101" i="55" s="1"/>
  <c r="I101" i="55"/>
  <c r="F104" i="48"/>
  <c r="F103" i="49"/>
  <c r="J100" i="55"/>
  <c r="N100" i="55"/>
  <c r="O100" i="55" s="1"/>
  <c r="P100" i="55" s="1"/>
  <c r="G102" i="55"/>
  <c r="D103" i="55"/>
  <c r="E103" i="55"/>
  <c r="F103" i="55" s="1"/>
  <c r="I103" i="48"/>
  <c r="J103" i="48" s="1"/>
  <c r="H103" i="48"/>
  <c r="I102" i="49"/>
  <c r="H102" i="49"/>
  <c r="I101" i="57"/>
  <c r="H101" i="57"/>
  <c r="F102" i="57"/>
  <c r="G101" i="13"/>
  <c r="D102" i="13"/>
  <c r="E102" i="13" s="1"/>
  <c r="J100" i="13"/>
  <c r="N100" i="13"/>
  <c r="O100" i="13" s="1"/>
  <c r="P100" i="13" s="1"/>
  <c r="H101" i="54"/>
  <c r="I101" i="54"/>
  <c r="F102" i="54"/>
  <c r="J99" i="54"/>
  <c r="J99" i="57"/>
  <c r="B101" i="57"/>
  <c r="B101" i="55"/>
  <c r="J100" i="47"/>
  <c r="B101" i="46"/>
  <c r="J100" i="45"/>
  <c r="J100" i="44"/>
  <c r="J100" i="38"/>
  <c r="J100" i="42"/>
  <c r="J100" i="41"/>
  <c r="B106" i="24"/>
  <c r="B101" i="37"/>
  <c r="B111" i="11"/>
  <c r="B107" i="23"/>
  <c r="B104" i="31"/>
  <c r="B100" i="40"/>
  <c r="B109" i="5"/>
  <c r="B105" i="27"/>
  <c r="B108" i="22"/>
  <c r="B109" i="3"/>
  <c r="B104" i="29"/>
  <c r="B110" i="8"/>
  <c r="B101" i="39"/>
  <c r="B103" i="30"/>
  <c r="B110" i="6"/>
  <c r="B101" i="43"/>
  <c r="B109" i="4"/>
  <c r="B111" i="9"/>
  <c r="B104" i="28"/>
  <c r="B108" i="25"/>
  <c r="B112" i="10"/>
  <c r="B112" i="7"/>
  <c r="D104" i="49" l="1"/>
  <c r="B104" i="49" s="1"/>
  <c r="G103" i="49"/>
  <c r="E104" i="49"/>
  <c r="D104" i="55"/>
  <c r="G103" i="55"/>
  <c r="E104" i="55"/>
  <c r="F104" i="55" s="1"/>
  <c r="D105" i="48"/>
  <c r="B105" i="48" s="1"/>
  <c r="G104" i="48"/>
  <c r="E105" i="48"/>
  <c r="J101" i="55"/>
  <c r="N101" i="55"/>
  <c r="O101" i="55" s="1"/>
  <c r="P101" i="55" s="1"/>
  <c r="J102" i="49"/>
  <c r="I102" i="55"/>
  <c r="H102" i="55"/>
  <c r="L102" i="55" s="1"/>
  <c r="M102" i="55" s="1"/>
  <c r="G102" i="57"/>
  <c r="D103" i="57"/>
  <c r="E103" i="57"/>
  <c r="F102" i="13"/>
  <c r="B102" i="13"/>
  <c r="H101" i="13"/>
  <c r="L101" i="13" s="1"/>
  <c r="M101" i="13" s="1"/>
  <c r="I101" i="13"/>
  <c r="D103" i="54"/>
  <c r="G102" i="54"/>
  <c r="E103" i="54"/>
  <c r="B101" i="54"/>
  <c r="B102" i="45"/>
  <c r="B102" i="47"/>
  <c r="B102" i="44"/>
  <c r="B102" i="38"/>
  <c r="B102" i="42"/>
  <c r="B102" i="41"/>
  <c r="J100" i="43"/>
  <c r="J102" i="30"/>
  <c r="J103" i="29"/>
  <c r="J108" i="3"/>
  <c r="J100" i="37"/>
  <c r="J107" i="25"/>
  <c r="J103" i="28"/>
  <c r="J99" i="40"/>
  <c r="J100" i="39"/>
  <c r="J107" i="22"/>
  <c r="J109" i="8"/>
  <c r="J103" i="31"/>
  <c r="J111" i="7"/>
  <c r="J111" i="10"/>
  <c r="J110" i="9"/>
  <c r="J109" i="6"/>
  <c r="J105" i="24"/>
  <c r="J104" i="27"/>
  <c r="J106" i="23"/>
  <c r="J110" i="11"/>
  <c r="J108" i="5"/>
  <c r="J108" i="4"/>
  <c r="N102" i="55" l="1"/>
  <c r="O102" i="55" s="1"/>
  <c r="P102" i="55" s="1"/>
  <c r="J102" i="55"/>
  <c r="G104" i="55"/>
  <c r="D105" i="55"/>
  <c r="F104" i="49"/>
  <c r="I103" i="55"/>
  <c r="H103" i="55"/>
  <c r="L103" i="55" s="1"/>
  <c r="M103" i="55" s="1"/>
  <c r="I103" i="49"/>
  <c r="J103" i="49" s="1"/>
  <c r="H103" i="49"/>
  <c r="I104" i="48"/>
  <c r="H104" i="48"/>
  <c r="J104" i="48" s="1"/>
  <c r="F105" i="48"/>
  <c r="F103" i="57"/>
  <c r="H102" i="57"/>
  <c r="I102" i="57"/>
  <c r="N101" i="13"/>
  <c r="O101" i="13" s="1"/>
  <c r="P101" i="13" s="1"/>
  <c r="J101" i="13"/>
  <c r="G102" i="13"/>
  <c r="D103" i="13"/>
  <c r="I102" i="54"/>
  <c r="H102" i="54"/>
  <c r="F103" i="54"/>
  <c r="J100" i="54"/>
  <c r="J100" i="57"/>
  <c r="B102" i="55"/>
  <c r="B102" i="54"/>
  <c r="B102" i="57"/>
  <c r="B102" i="46"/>
  <c r="J101" i="45"/>
  <c r="D103" i="47"/>
  <c r="E103" i="47" s="1"/>
  <c r="J101" i="47"/>
  <c r="J100" i="46"/>
  <c r="B103" i="45"/>
  <c r="J101" i="44"/>
  <c r="B103" i="44"/>
  <c r="J101" i="42"/>
  <c r="J101" i="38"/>
  <c r="B103" i="42"/>
  <c r="J101" i="41"/>
  <c r="B107" i="24"/>
  <c r="B101" i="40"/>
  <c r="B106" i="27"/>
  <c r="B104" i="30"/>
  <c r="B109" i="25"/>
  <c r="B109" i="22"/>
  <c r="B111" i="8"/>
  <c r="B113" i="7"/>
  <c r="B105" i="31"/>
  <c r="B105" i="29"/>
  <c r="B105" i="28"/>
  <c r="B110" i="4"/>
  <c r="B113" i="10"/>
  <c r="B108" i="23"/>
  <c r="B110" i="3"/>
  <c r="B102" i="43"/>
  <c r="B112" i="11"/>
  <c r="B111" i="6"/>
  <c r="B112" i="9"/>
  <c r="B102" i="39"/>
  <c r="B102" i="37"/>
  <c r="B110" i="5"/>
  <c r="E105" i="55" l="1"/>
  <c r="F105" i="55"/>
  <c r="D106" i="48"/>
  <c r="B106" i="48" s="1"/>
  <c r="G105" i="48"/>
  <c r="E106" i="48"/>
  <c r="H104" i="55"/>
  <c r="L104" i="55" s="1"/>
  <c r="M104" i="55" s="1"/>
  <c r="I104" i="55"/>
  <c r="J103" i="55"/>
  <c r="N103" i="55"/>
  <c r="O103" i="55" s="1"/>
  <c r="P103" i="55" s="1"/>
  <c r="G104" i="49"/>
  <c r="D105" i="49"/>
  <c r="B105" i="49" s="1"/>
  <c r="E105" i="49"/>
  <c r="G103" i="57"/>
  <c r="D104" i="57"/>
  <c r="E104" i="57"/>
  <c r="E103" i="13"/>
  <c r="F103" i="13" s="1"/>
  <c r="B103" i="13"/>
  <c r="I102" i="13"/>
  <c r="H102" i="13"/>
  <c r="L102" i="13" s="1"/>
  <c r="M102" i="13" s="1"/>
  <c r="D104" i="54"/>
  <c r="G103" i="54"/>
  <c r="E104" i="54"/>
  <c r="J101" i="57"/>
  <c r="B103" i="54"/>
  <c r="B103" i="55"/>
  <c r="J101" i="46"/>
  <c r="B103" i="46"/>
  <c r="M88" i="47"/>
  <c r="M89" i="47" s="1"/>
  <c r="N88" i="47"/>
  <c r="F103" i="47"/>
  <c r="B103" i="47"/>
  <c r="J102" i="45"/>
  <c r="B103" i="38"/>
  <c r="B103" i="41"/>
  <c r="J111" i="9"/>
  <c r="J101" i="43"/>
  <c r="J112" i="10"/>
  <c r="J104" i="29"/>
  <c r="J109" i="5"/>
  <c r="J106" i="24"/>
  <c r="J109" i="3"/>
  <c r="J104" i="28"/>
  <c r="J105" i="27"/>
  <c r="J100" i="40"/>
  <c r="J101" i="37"/>
  <c r="J101" i="39"/>
  <c r="J110" i="6"/>
  <c r="J111" i="11"/>
  <c r="J110" i="8"/>
  <c r="J108" i="25"/>
  <c r="J107" i="23"/>
  <c r="J109" i="4"/>
  <c r="J104" i="31"/>
  <c r="J112" i="7"/>
  <c r="J108" i="22"/>
  <c r="J103" i="30"/>
  <c r="J104" i="55" l="1"/>
  <c r="N104" i="55"/>
  <c r="O104" i="55" s="1"/>
  <c r="P104" i="55" s="1"/>
  <c r="F105" i="49"/>
  <c r="I105" i="48"/>
  <c r="H105" i="48"/>
  <c r="F106" i="48"/>
  <c r="H104" i="49"/>
  <c r="I104" i="49"/>
  <c r="J104" i="49" s="1"/>
  <c r="D106" i="55"/>
  <c r="G105" i="55"/>
  <c r="E106" i="55"/>
  <c r="F106" i="55" s="1"/>
  <c r="F104" i="57"/>
  <c r="I103" i="57"/>
  <c r="H103" i="57"/>
  <c r="N102" i="13"/>
  <c r="O102" i="13" s="1"/>
  <c r="P102" i="13" s="1"/>
  <c r="J102" i="13"/>
  <c r="G103" i="13"/>
  <c r="D104" i="13"/>
  <c r="H103" i="54"/>
  <c r="I103" i="54"/>
  <c r="F104" i="54"/>
  <c r="N89" i="47"/>
  <c r="O88" i="47"/>
  <c r="O89" i="47" s="1"/>
  <c r="J101" i="54"/>
  <c r="B103" i="57"/>
  <c r="B104" i="54"/>
  <c r="G103" i="47"/>
  <c r="D104" i="47"/>
  <c r="E104" i="47" s="1"/>
  <c r="J102" i="46"/>
  <c r="B104" i="44"/>
  <c r="J102" i="44"/>
  <c r="J102" i="38"/>
  <c r="J102" i="41"/>
  <c r="J102" i="42"/>
  <c r="B104" i="42"/>
  <c r="B106" i="28"/>
  <c r="B109" i="23"/>
  <c r="B103" i="39"/>
  <c r="B108" i="24"/>
  <c r="B111" i="3"/>
  <c r="B111" i="4"/>
  <c r="B107" i="27"/>
  <c r="B114" i="7"/>
  <c r="B106" i="29"/>
  <c r="B103" i="43"/>
  <c r="B110" i="22"/>
  <c r="B114" i="10"/>
  <c r="B112" i="6"/>
  <c r="B105" i="30"/>
  <c r="B106" i="31"/>
  <c r="B112" i="8"/>
  <c r="B110" i="25"/>
  <c r="B113" i="11"/>
  <c r="B111" i="5"/>
  <c r="B102" i="40"/>
  <c r="B103" i="37"/>
  <c r="B113" i="9"/>
  <c r="D107" i="48" l="1"/>
  <c r="B107" i="48" s="1"/>
  <c r="G106" i="48"/>
  <c r="E107" i="48"/>
  <c r="G106" i="55"/>
  <c r="D107" i="55"/>
  <c r="E107" i="55"/>
  <c r="J105" i="48"/>
  <c r="H105" i="55"/>
  <c r="L105" i="55" s="1"/>
  <c r="M105" i="55" s="1"/>
  <c r="I105" i="55"/>
  <c r="G105" i="49"/>
  <c r="D106" i="49"/>
  <c r="B106" i="49" s="1"/>
  <c r="E106" i="49"/>
  <c r="D105" i="57"/>
  <c r="G104" i="57"/>
  <c r="E105" i="57"/>
  <c r="E104" i="13"/>
  <c r="F104" i="13" s="1"/>
  <c r="B104" i="13"/>
  <c r="H103" i="13"/>
  <c r="L103" i="13" s="1"/>
  <c r="M103" i="13" s="1"/>
  <c r="I103" i="13"/>
  <c r="D105" i="54"/>
  <c r="G104" i="54"/>
  <c r="E105" i="54"/>
  <c r="J102" i="57"/>
  <c r="B104" i="55"/>
  <c r="J102" i="54"/>
  <c r="E104" i="46"/>
  <c r="D104" i="46"/>
  <c r="F104" i="47"/>
  <c r="B104" i="47"/>
  <c r="I103" i="47"/>
  <c r="H103" i="47"/>
  <c r="D105" i="44"/>
  <c r="B105" i="44" s="1"/>
  <c r="B104" i="45"/>
  <c r="J103" i="42"/>
  <c r="B104" i="38"/>
  <c r="B104" i="41"/>
  <c r="J105" i="29"/>
  <c r="J102" i="37"/>
  <c r="J109" i="25"/>
  <c r="J109" i="22"/>
  <c r="J110" i="4"/>
  <c r="J107" i="24"/>
  <c r="J108" i="23"/>
  <c r="J101" i="40"/>
  <c r="J110" i="5"/>
  <c r="J112" i="11"/>
  <c r="J111" i="8"/>
  <c r="J104" i="30"/>
  <c r="J113" i="10"/>
  <c r="J102" i="43"/>
  <c r="J106" i="27"/>
  <c r="J105" i="28"/>
  <c r="J110" i="3"/>
  <c r="J105" i="31"/>
  <c r="J111" i="6"/>
  <c r="J113" i="7"/>
  <c r="J102" i="39"/>
  <c r="J112" i="9"/>
  <c r="F107" i="55" l="1"/>
  <c r="F106" i="49"/>
  <c r="H106" i="55"/>
  <c r="L106" i="55" s="1"/>
  <c r="M106" i="55" s="1"/>
  <c r="I106" i="55"/>
  <c r="F107" i="48"/>
  <c r="I105" i="49"/>
  <c r="H105" i="49"/>
  <c r="H106" i="48"/>
  <c r="I106" i="48"/>
  <c r="J106" i="48" s="1"/>
  <c r="J105" i="55"/>
  <c r="N105" i="55"/>
  <c r="O105" i="55" s="1"/>
  <c r="P105" i="55" s="1"/>
  <c r="I104" i="57"/>
  <c r="H104" i="57"/>
  <c r="F105" i="57"/>
  <c r="N103" i="13"/>
  <c r="O103" i="13" s="1"/>
  <c r="P103" i="13" s="1"/>
  <c r="J103" i="13"/>
  <c r="G104" i="13"/>
  <c r="D105" i="13"/>
  <c r="B105" i="13" s="1"/>
  <c r="I104" i="54"/>
  <c r="H104" i="54"/>
  <c r="F105" i="54"/>
  <c r="J103" i="54"/>
  <c r="B104" i="57"/>
  <c r="D105" i="47"/>
  <c r="E105" i="47" s="1"/>
  <c r="G104" i="47"/>
  <c r="B104" i="46"/>
  <c r="F104" i="46"/>
  <c r="J103" i="47"/>
  <c r="M88" i="46"/>
  <c r="M89" i="46" s="1"/>
  <c r="N88" i="46"/>
  <c r="N89" i="46" s="1"/>
  <c r="M88" i="44"/>
  <c r="M89" i="44" s="1"/>
  <c r="E105" i="44"/>
  <c r="F105" i="44" s="1"/>
  <c r="D106" i="44" s="1"/>
  <c r="J103" i="44"/>
  <c r="J103" i="45"/>
  <c r="E105" i="45"/>
  <c r="D105" i="45"/>
  <c r="J103" i="38"/>
  <c r="B105" i="42"/>
  <c r="J103" i="41"/>
  <c r="B111" i="25"/>
  <c r="B104" i="39"/>
  <c r="B107" i="28"/>
  <c r="B108" i="27"/>
  <c r="B112" i="3"/>
  <c r="B115" i="10"/>
  <c r="B107" i="31"/>
  <c r="B115" i="7"/>
  <c r="B103" i="40"/>
  <c r="B112" i="4"/>
  <c r="B113" i="6"/>
  <c r="B114" i="9"/>
  <c r="B106" i="30"/>
  <c r="B112" i="5"/>
  <c r="B104" i="43"/>
  <c r="B113" i="8"/>
  <c r="B104" i="37"/>
  <c r="B109" i="24"/>
  <c r="B110" i="23"/>
  <c r="B111" i="22"/>
  <c r="B107" i="29"/>
  <c r="B114" i="11"/>
  <c r="G107" i="48" l="1"/>
  <c r="D108" i="48"/>
  <c r="B108" i="48" s="1"/>
  <c r="E108" i="48"/>
  <c r="J106" i="55"/>
  <c r="N106" i="55"/>
  <c r="O106" i="55" s="1"/>
  <c r="P106" i="55" s="1"/>
  <c r="D107" i="49"/>
  <c r="B107" i="49" s="1"/>
  <c r="G106" i="49"/>
  <c r="E107" i="49"/>
  <c r="F107" i="49" s="1"/>
  <c r="J105" i="49"/>
  <c r="G107" i="55"/>
  <c r="D108" i="55"/>
  <c r="E108" i="55" s="1"/>
  <c r="F108" i="55" s="1"/>
  <c r="E105" i="13"/>
  <c r="F105" i="13" s="1"/>
  <c r="D106" i="13" s="1"/>
  <c r="E106" i="13" s="1"/>
  <c r="D106" i="57"/>
  <c r="G105" i="57"/>
  <c r="E106" i="57"/>
  <c r="I104" i="13"/>
  <c r="H104" i="13"/>
  <c r="L104" i="13" s="1"/>
  <c r="M104" i="13" s="1"/>
  <c r="D106" i="54"/>
  <c r="G105" i="54"/>
  <c r="E106" i="54"/>
  <c r="B105" i="54"/>
  <c r="J103" i="57"/>
  <c r="B105" i="55"/>
  <c r="B105" i="57"/>
  <c r="J103" i="46"/>
  <c r="P108" i="25"/>
  <c r="O88" i="46"/>
  <c r="O89" i="46" s="1"/>
  <c r="I56" i="17"/>
  <c r="H104" i="47"/>
  <c r="I104" i="47"/>
  <c r="G104" i="46"/>
  <c r="E105" i="46"/>
  <c r="D105" i="46"/>
  <c r="B105" i="47"/>
  <c r="F105" i="47"/>
  <c r="G105" i="44"/>
  <c r="H105" i="44" s="1"/>
  <c r="B105" i="45"/>
  <c r="F105" i="45"/>
  <c r="M88" i="45"/>
  <c r="M89" i="45" s="1"/>
  <c r="N88" i="45"/>
  <c r="E106" i="44"/>
  <c r="F106" i="44" s="1"/>
  <c r="B106" i="44"/>
  <c r="D106" i="42"/>
  <c r="B105" i="38"/>
  <c r="J104" i="42"/>
  <c r="B105" i="41"/>
  <c r="J112" i="8"/>
  <c r="J113" i="9"/>
  <c r="J103" i="39"/>
  <c r="J110" i="25"/>
  <c r="J108" i="24"/>
  <c r="J111" i="4"/>
  <c r="J103" i="37"/>
  <c r="J102" i="40"/>
  <c r="J114" i="10"/>
  <c r="J107" i="27"/>
  <c r="J106" i="28"/>
  <c r="J110" i="22"/>
  <c r="J103" i="43"/>
  <c r="J105" i="30"/>
  <c r="J106" i="31"/>
  <c r="J106" i="29"/>
  <c r="J111" i="5"/>
  <c r="J112" i="6"/>
  <c r="J114" i="7"/>
  <c r="J113" i="11"/>
  <c r="J109" i="23"/>
  <c r="G108" i="55" l="1"/>
  <c r="D109" i="55"/>
  <c r="E109" i="55" s="1"/>
  <c r="F109" i="55" s="1"/>
  <c r="G109" i="55" s="1"/>
  <c r="F108" i="48"/>
  <c r="G107" i="49"/>
  <c r="D108" i="49"/>
  <c r="B108" i="49" s="1"/>
  <c r="E108" i="49"/>
  <c r="F108" i="49" s="1"/>
  <c r="I106" i="49"/>
  <c r="H106" i="49"/>
  <c r="J106" i="49" s="1"/>
  <c r="I107" i="55"/>
  <c r="H107" i="55"/>
  <c r="L107" i="55" s="1"/>
  <c r="M107" i="55" s="1"/>
  <c r="G105" i="13"/>
  <c r="H107" i="48"/>
  <c r="I107" i="48"/>
  <c r="J107" i="48" s="1"/>
  <c r="I105" i="57"/>
  <c r="H105" i="57"/>
  <c r="F106" i="57"/>
  <c r="N104" i="13"/>
  <c r="O104" i="13" s="1"/>
  <c r="P104" i="13" s="1"/>
  <c r="J104" i="13"/>
  <c r="F106" i="13"/>
  <c r="B106" i="13"/>
  <c r="I105" i="13"/>
  <c r="H105" i="13"/>
  <c r="L105" i="13" s="1"/>
  <c r="M105" i="13" s="1"/>
  <c r="I105" i="54"/>
  <c r="H105" i="54"/>
  <c r="F106" i="54"/>
  <c r="N89" i="45"/>
  <c r="O88" i="45"/>
  <c r="O89" i="45" s="1"/>
  <c r="J104" i="44"/>
  <c r="N88" i="44"/>
  <c r="B106" i="55"/>
  <c r="J104" i="54"/>
  <c r="B106" i="54"/>
  <c r="J104" i="47"/>
  <c r="B105" i="46"/>
  <c r="F105" i="46"/>
  <c r="D106" i="47"/>
  <c r="E106" i="47" s="1"/>
  <c r="G105" i="47"/>
  <c r="I104" i="46"/>
  <c r="H104" i="46"/>
  <c r="I105" i="44"/>
  <c r="J105" i="44" s="1"/>
  <c r="J104" i="45"/>
  <c r="G105" i="45"/>
  <c r="D106" i="45"/>
  <c r="E106" i="45"/>
  <c r="J104" i="38"/>
  <c r="J104" i="41"/>
  <c r="D107" i="44"/>
  <c r="G106" i="44"/>
  <c r="D106" i="41"/>
  <c r="D106" i="38"/>
  <c r="E106" i="42"/>
  <c r="F106" i="42" s="1"/>
  <c r="B106" i="42"/>
  <c r="N88" i="42"/>
  <c r="M88" i="42"/>
  <c r="M89" i="42" s="1"/>
  <c r="B109" i="27"/>
  <c r="B108" i="31"/>
  <c r="B112" i="25"/>
  <c r="B113" i="3"/>
  <c r="B105" i="43"/>
  <c r="B107" i="30"/>
  <c r="B112" i="22"/>
  <c r="P109" i="25"/>
  <c r="B108" i="28"/>
  <c r="B104" i="40"/>
  <c r="B111" i="23"/>
  <c r="B114" i="6"/>
  <c r="B105" i="39"/>
  <c r="B115" i="11"/>
  <c r="B116" i="7"/>
  <c r="B110" i="24"/>
  <c r="B114" i="8"/>
  <c r="B113" i="4"/>
  <c r="B115" i="9"/>
  <c r="B113" i="5"/>
  <c r="B116" i="10"/>
  <c r="B105" i="37"/>
  <c r="B108" i="29"/>
  <c r="H107" i="49" l="1"/>
  <c r="I107" i="49"/>
  <c r="J107" i="49" s="1"/>
  <c r="D109" i="48"/>
  <c r="B109" i="48" s="1"/>
  <c r="G108" i="48"/>
  <c r="E109" i="48"/>
  <c r="F109" i="48" s="1"/>
  <c r="I109" i="55"/>
  <c r="H109" i="55"/>
  <c r="D109" i="49"/>
  <c r="B109" i="49" s="1"/>
  <c r="G108" i="49"/>
  <c r="E109" i="49"/>
  <c r="J107" i="55"/>
  <c r="N107" i="55"/>
  <c r="O107" i="55" s="1"/>
  <c r="P107" i="55" s="1"/>
  <c r="H108" i="55"/>
  <c r="I108" i="55"/>
  <c r="J108" i="55" s="1"/>
  <c r="G106" i="57"/>
  <c r="D107" i="57"/>
  <c r="F107" i="57" s="1"/>
  <c r="G107" i="57" s="1"/>
  <c r="E107" i="57"/>
  <c r="N105" i="13"/>
  <c r="O105" i="13" s="1"/>
  <c r="P105" i="13" s="1"/>
  <c r="J105" i="13"/>
  <c r="G106" i="13"/>
  <c r="D107" i="13"/>
  <c r="D107" i="54"/>
  <c r="G106" i="54"/>
  <c r="E107" i="54"/>
  <c r="O88" i="44"/>
  <c r="O89" i="44" s="1"/>
  <c r="N89" i="44"/>
  <c r="O88" i="42"/>
  <c r="O89" i="42" s="1"/>
  <c r="N89" i="42"/>
  <c r="B106" i="57"/>
  <c r="J104" i="57"/>
  <c r="I105" i="47"/>
  <c r="H105" i="47"/>
  <c r="B106" i="47"/>
  <c r="F106" i="47"/>
  <c r="J104" i="46"/>
  <c r="E106" i="46"/>
  <c r="G105" i="46"/>
  <c r="D106" i="46"/>
  <c r="B106" i="45"/>
  <c r="F106" i="45"/>
  <c r="H105" i="45"/>
  <c r="I105" i="45"/>
  <c r="J105" i="42"/>
  <c r="H106" i="44"/>
  <c r="I106" i="44"/>
  <c r="E107" i="44"/>
  <c r="F107" i="44" s="1"/>
  <c r="B107" i="44"/>
  <c r="N88" i="38"/>
  <c r="M88" i="38"/>
  <c r="M89" i="38" s="1"/>
  <c r="D107" i="42"/>
  <c r="G106" i="42"/>
  <c r="E106" i="38"/>
  <c r="F106" i="38" s="1"/>
  <c r="B106" i="38"/>
  <c r="M88" i="41"/>
  <c r="M89" i="41" s="1"/>
  <c r="N88" i="41"/>
  <c r="E106" i="41"/>
  <c r="F106" i="41" s="1"/>
  <c r="B106" i="41"/>
  <c r="J113" i="8"/>
  <c r="J109" i="24"/>
  <c r="J115" i="7"/>
  <c r="J114" i="11"/>
  <c r="J104" i="39"/>
  <c r="J113" i="6"/>
  <c r="J111" i="22"/>
  <c r="J106" i="30"/>
  <c r="J112" i="3"/>
  <c r="J111" i="25"/>
  <c r="J107" i="31"/>
  <c r="J107" i="29"/>
  <c r="J115" i="10"/>
  <c r="J114" i="9"/>
  <c r="J104" i="43"/>
  <c r="J104" i="37"/>
  <c r="J110" i="23"/>
  <c r="J103" i="40"/>
  <c r="J107" i="28"/>
  <c r="D106" i="43"/>
  <c r="E106" i="43"/>
  <c r="J112" i="5"/>
  <c r="J108" i="27"/>
  <c r="G109" i="48" l="1"/>
  <c r="D110" i="48"/>
  <c r="B110" i="48" s="1"/>
  <c r="E110" i="48"/>
  <c r="I108" i="48"/>
  <c r="H108" i="48"/>
  <c r="J109" i="55"/>
  <c r="F109" i="49"/>
  <c r="H108" i="49"/>
  <c r="I108" i="49"/>
  <c r="I107" i="57"/>
  <c r="H107" i="57"/>
  <c r="H106" i="57"/>
  <c r="I106" i="57"/>
  <c r="I106" i="13"/>
  <c r="H106" i="13"/>
  <c r="L106" i="13" s="1"/>
  <c r="M106" i="13" s="1"/>
  <c r="B107" i="13"/>
  <c r="E107" i="13"/>
  <c r="F107" i="13" s="1"/>
  <c r="I106" i="54"/>
  <c r="H106" i="54"/>
  <c r="F107" i="54"/>
  <c r="G107" i="54" s="1"/>
  <c r="N89" i="41"/>
  <c r="O88" i="41"/>
  <c r="O89" i="41" s="1"/>
  <c r="O88" i="38"/>
  <c r="O89" i="38" s="1"/>
  <c r="N89" i="38"/>
  <c r="J105" i="54"/>
  <c r="J105" i="57"/>
  <c r="B107" i="54"/>
  <c r="B107" i="55"/>
  <c r="F106" i="46"/>
  <c r="B106" i="46"/>
  <c r="D107" i="47"/>
  <c r="E107" i="47" s="1"/>
  <c r="G106" i="47"/>
  <c r="H105" i="46"/>
  <c r="I105" i="46"/>
  <c r="J105" i="47"/>
  <c r="J105" i="45"/>
  <c r="G106" i="45"/>
  <c r="D107" i="45"/>
  <c r="E107" i="45"/>
  <c r="J106" i="44"/>
  <c r="D108" i="44"/>
  <c r="G107" i="44"/>
  <c r="H106" i="42"/>
  <c r="I106" i="42"/>
  <c r="D107" i="41"/>
  <c r="G106" i="41"/>
  <c r="D107" i="38"/>
  <c r="G106" i="38"/>
  <c r="E107" i="42"/>
  <c r="F107" i="42" s="1"/>
  <c r="B107" i="42"/>
  <c r="J105" i="41"/>
  <c r="J105" i="38"/>
  <c r="B114" i="3"/>
  <c r="B109" i="28"/>
  <c r="B116" i="11"/>
  <c r="B116" i="9"/>
  <c r="B109" i="29"/>
  <c r="B113" i="25"/>
  <c r="B117" i="7"/>
  <c r="N88" i="43"/>
  <c r="M88" i="43"/>
  <c r="M89" i="43" s="1"/>
  <c r="B110" i="27"/>
  <c r="B113" i="22"/>
  <c r="B115" i="6"/>
  <c r="B114" i="4"/>
  <c r="B106" i="37"/>
  <c r="B108" i="30"/>
  <c r="B112" i="23"/>
  <c r="B117" i="10"/>
  <c r="B115" i="8"/>
  <c r="B106" i="43"/>
  <c r="F106" i="43"/>
  <c r="B105" i="40"/>
  <c r="B114" i="5"/>
  <c r="B109" i="31"/>
  <c r="B106" i="39"/>
  <c r="B111" i="24"/>
  <c r="D110" i="49" l="1"/>
  <c r="B110" i="49" s="1"/>
  <c r="G109" i="49"/>
  <c r="E110" i="49"/>
  <c r="F110" i="49" s="1"/>
  <c r="J108" i="48"/>
  <c r="F110" i="48"/>
  <c r="J108" i="49"/>
  <c r="H109" i="48"/>
  <c r="I109" i="48"/>
  <c r="J109" i="48" s="1"/>
  <c r="G107" i="13"/>
  <c r="D108" i="13"/>
  <c r="B108" i="13" s="1"/>
  <c r="N106" i="13"/>
  <c r="O106" i="13" s="1"/>
  <c r="P106" i="13" s="1"/>
  <c r="J106" i="13"/>
  <c r="H107" i="54"/>
  <c r="I107" i="54"/>
  <c r="O88" i="43"/>
  <c r="O89" i="43" s="1"/>
  <c r="N89" i="43"/>
  <c r="J106" i="54"/>
  <c r="D108" i="54"/>
  <c r="B107" i="57"/>
  <c r="J105" i="46"/>
  <c r="H106" i="47"/>
  <c r="I106" i="47"/>
  <c r="F107" i="47"/>
  <c r="B107" i="47"/>
  <c r="D107" i="46"/>
  <c r="G106" i="46"/>
  <c r="E107" i="46"/>
  <c r="B107" i="45"/>
  <c r="F107" i="45"/>
  <c r="I106" i="45"/>
  <c r="H106" i="45"/>
  <c r="E108" i="44"/>
  <c r="F108" i="44" s="1"/>
  <c r="B108" i="44"/>
  <c r="H107" i="44"/>
  <c r="I107" i="44"/>
  <c r="J106" i="42"/>
  <c r="G107" i="42"/>
  <c r="D108" i="42"/>
  <c r="I106" i="41"/>
  <c r="H106" i="41"/>
  <c r="E107" i="41"/>
  <c r="F107" i="41" s="1"/>
  <c r="B107" i="41"/>
  <c r="H106" i="38"/>
  <c r="I106" i="38"/>
  <c r="E107" i="38"/>
  <c r="F107" i="38" s="1"/>
  <c r="B107" i="38"/>
  <c r="J114" i="8"/>
  <c r="J116" i="10"/>
  <c r="J105" i="39"/>
  <c r="J113" i="3"/>
  <c r="J105" i="43"/>
  <c r="D107" i="39"/>
  <c r="E107" i="39"/>
  <c r="J111" i="23"/>
  <c r="J107" i="30"/>
  <c r="D116" i="8"/>
  <c r="E116" i="8"/>
  <c r="D118" i="10"/>
  <c r="E118" i="10"/>
  <c r="J112" i="22"/>
  <c r="J109" i="27"/>
  <c r="J112" i="25"/>
  <c r="D107" i="37"/>
  <c r="E107" i="37"/>
  <c r="D115" i="4"/>
  <c r="E115" i="4"/>
  <c r="D116" i="6"/>
  <c r="E116" i="6"/>
  <c r="D114" i="22"/>
  <c r="E114" i="22"/>
  <c r="D111" i="27"/>
  <c r="E111" i="27"/>
  <c r="J108" i="31"/>
  <c r="J113" i="5"/>
  <c r="D117" i="11"/>
  <c r="E117" i="11"/>
  <c r="D110" i="28"/>
  <c r="E110" i="28"/>
  <c r="J110" i="24"/>
  <c r="D112" i="24"/>
  <c r="E112" i="24"/>
  <c r="D110" i="31"/>
  <c r="E110" i="31"/>
  <c r="D115" i="5"/>
  <c r="E115" i="5"/>
  <c r="D106" i="40"/>
  <c r="E106" i="40"/>
  <c r="G106" i="43"/>
  <c r="D107" i="43"/>
  <c r="E107" i="43"/>
  <c r="D113" i="23"/>
  <c r="E113" i="23"/>
  <c r="D109" i="30"/>
  <c r="E109" i="30"/>
  <c r="J116" i="7"/>
  <c r="J108" i="29"/>
  <c r="J115" i="9"/>
  <c r="J115" i="11"/>
  <c r="J108" i="28"/>
  <c r="D118" i="7"/>
  <c r="E118" i="7"/>
  <c r="D114" i="25"/>
  <c r="E114" i="25"/>
  <c r="D110" i="29"/>
  <c r="E110" i="29"/>
  <c r="D117" i="9"/>
  <c r="E117" i="9"/>
  <c r="J104" i="40"/>
  <c r="D115" i="3"/>
  <c r="E115" i="3"/>
  <c r="G110" i="48" l="1"/>
  <c r="D111" i="48"/>
  <c r="B111" i="48" s="1"/>
  <c r="E111" i="48"/>
  <c r="G110" i="49"/>
  <c r="D111" i="49"/>
  <c r="B111" i="49" s="1"/>
  <c r="E111" i="49"/>
  <c r="F111" i="49" s="1"/>
  <c r="H109" i="49"/>
  <c r="I109" i="49"/>
  <c r="J109" i="49" s="1"/>
  <c r="E108" i="13"/>
  <c r="F108" i="13" s="1"/>
  <c r="G108" i="13" s="1"/>
  <c r="I107" i="13"/>
  <c r="H107" i="13"/>
  <c r="L107" i="13" s="1"/>
  <c r="M107" i="13" s="1"/>
  <c r="J106" i="57"/>
  <c r="J107" i="54"/>
  <c r="D108" i="57"/>
  <c r="B108" i="57" s="1"/>
  <c r="E108" i="57"/>
  <c r="E108" i="54"/>
  <c r="F108" i="54" s="1"/>
  <c r="B108" i="54"/>
  <c r="B108" i="55"/>
  <c r="J106" i="47"/>
  <c r="D108" i="47"/>
  <c r="E108" i="47" s="1"/>
  <c r="G107" i="47"/>
  <c r="I106" i="46"/>
  <c r="H106" i="46"/>
  <c r="B107" i="46"/>
  <c r="F107" i="46"/>
  <c r="J106" i="45"/>
  <c r="E108" i="45"/>
  <c r="D108" i="45"/>
  <c r="G107" i="45"/>
  <c r="D109" i="44"/>
  <c r="G108" i="44"/>
  <c r="J107" i="44"/>
  <c r="J106" i="41"/>
  <c r="G107" i="38"/>
  <c r="D108" i="38"/>
  <c r="G107" i="41"/>
  <c r="D108" i="41"/>
  <c r="E108" i="42"/>
  <c r="F108" i="42" s="1"/>
  <c r="B108" i="42"/>
  <c r="J106" i="38"/>
  <c r="H107" i="42"/>
  <c r="I107" i="42"/>
  <c r="B115" i="3"/>
  <c r="F115" i="3"/>
  <c r="M88" i="3"/>
  <c r="N88" i="3"/>
  <c r="M88" i="9"/>
  <c r="M89" i="9" s="1"/>
  <c r="N88" i="9"/>
  <c r="B114" i="25"/>
  <c r="F114" i="25"/>
  <c r="M88" i="7"/>
  <c r="M89" i="7" s="1"/>
  <c r="N88" i="7"/>
  <c r="M88" i="30"/>
  <c r="M89" i="30" s="1"/>
  <c r="N88" i="30"/>
  <c r="I106" i="43"/>
  <c r="H106" i="43"/>
  <c r="B110" i="31"/>
  <c r="F110" i="31"/>
  <c r="M88" i="24"/>
  <c r="M89" i="24" s="1"/>
  <c r="N88" i="24"/>
  <c r="M88" i="28"/>
  <c r="M89" i="28" s="1"/>
  <c r="N88" i="28"/>
  <c r="N88" i="27"/>
  <c r="M88" i="27"/>
  <c r="M89" i="27" s="1"/>
  <c r="B115" i="4"/>
  <c r="F115" i="4"/>
  <c r="M88" i="37"/>
  <c r="M89" i="37" s="1"/>
  <c r="N88" i="37"/>
  <c r="B110" i="29"/>
  <c r="F110" i="29"/>
  <c r="M88" i="25"/>
  <c r="M89" i="25" s="1"/>
  <c r="N88" i="25"/>
  <c r="B115" i="5"/>
  <c r="F115" i="5"/>
  <c r="M88" i="31"/>
  <c r="M89" i="31" s="1"/>
  <c r="N88" i="31"/>
  <c r="B116" i="6"/>
  <c r="F116" i="6"/>
  <c r="M88" i="4"/>
  <c r="N88" i="4"/>
  <c r="B116" i="8"/>
  <c r="F116" i="8"/>
  <c r="B117" i="9"/>
  <c r="F117" i="9"/>
  <c r="M88" i="29"/>
  <c r="M89" i="29" s="1"/>
  <c r="N88" i="29"/>
  <c r="B113" i="23"/>
  <c r="F113" i="23"/>
  <c r="B106" i="40"/>
  <c r="F106" i="40"/>
  <c r="M88" i="5"/>
  <c r="M89" i="5" s="1"/>
  <c r="N88" i="5"/>
  <c r="B117" i="11"/>
  <c r="F117" i="11"/>
  <c r="B114" i="22"/>
  <c r="F114" i="22"/>
  <c r="N88" i="6"/>
  <c r="M88" i="6"/>
  <c r="M89" i="6" s="1"/>
  <c r="B118" i="10"/>
  <c r="F118" i="10"/>
  <c r="N88" i="8"/>
  <c r="M88" i="8"/>
  <c r="M89" i="8" s="1"/>
  <c r="B107" i="39"/>
  <c r="F107" i="39"/>
  <c r="B118" i="7"/>
  <c r="F118" i="7"/>
  <c r="B109" i="30"/>
  <c r="F109" i="30"/>
  <c r="N88" i="23"/>
  <c r="M88" i="23"/>
  <c r="M89" i="23" s="1"/>
  <c r="B107" i="43"/>
  <c r="F107" i="43"/>
  <c r="M88" i="40"/>
  <c r="M89" i="40" s="1"/>
  <c r="N88" i="40"/>
  <c r="B112" i="24"/>
  <c r="F112" i="24"/>
  <c r="B110" i="28"/>
  <c r="F110" i="28"/>
  <c r="M88" i="11"/>
  <c r="M89" i="11" s="1"/>
  <c r="N88" i="11"/>
  <c r="B111" i="27"/>
  <c r="F111" i="27"/>
  <c r="M88" i="22"/>
  <c r="M89" i="22" s="1"/>
  <c r="N88" i="22"/>
  <c r="B107" i="37"/>
  <c r="F107" i="37"/>
  <c r="M88" i="10"/>
  <c r="M89" i="10" s="1"/>
  <c r="N88" i="10"/>
  <c r="M88" i="39"/>
  <c r="M89" i="39" s="1"/>
  <c r="N88" i="39"/>
  <c r="I110" i="49" l="1"/>
  <c r="H110" i="49"/>
  <c r="F111" i="48"/>
  <c r="G111" i="49"/>
  <c r="D112" i="49"/>
  <c r="B112" i="49" s="1"/>
  <c r="E112" i="49"/>
  <c r="F112" i="49" s="1"/>
  <c r="H110" i="48"/>
  <c r="I110" i="48"/>
  <c r="J110" i="48" s="1"/>
  <c r="D109" i="13"/>
  <c r="E109" i="13" s="1"/>
  <c r="F109" i="13" s="1"/>
  <c r="N107" i="13"/>
  <c r="O107" i="13" s="1"/>
  <c r="P107" i="13" s="1"/>
  <c r="J107" i="13"/>
  <c r="B109" i="13"/>
  <c r="H108" i="13"/>
  <c r="I108" i="13"/>
  <c r="O88" i="4"/>
  <c r="O88" i="40"/>
  <c r="O89" i="40" s="1"/>
  <c r="N89" i="40"/>
  <c r="O88" i="39"/>
  <c r="O89" i="39" s="1"/>
  <c r="N89" i="39"/>
  <c r="N89" i="37"/>
  <c r="O88" i="37"/>
  <c r="O89" i="37" s="1"/>
  <c r="O88" i="31"/>
  <c r="O89" i="31" s="1"/>
  <c r="N89" i="31"/>
  <c r="N89" i="30"/>
  <c r="O88" i="30"/>
  <c r="O89" i="30" s="1"/>
  <c r="N89" i="29"/>
  <c r="O88" i="29"/>
  <c r="O89" i="29" s="1"/>
  <c r="N89" i="28"/>
  <c r="O88" i="28"/>
  <c r="O89" i="28" s="1"/>
  <c r="N89" i="27"/>
  <c r="O88" i="27"/>
  <c r="O89" i="27" s="1"/>
  <c r="N89" i="25"/>
  <c r="O88" i="25"/>
  <c r="O89" i="25" s="1"/>
  <c r="O88" i="24"/>
  <c r="O89" i="24" s="1"/>
  <c r="N89" i="24"/>
  <c r="O88" i="23"/>
  <c r="O89" i="23" s="1"/>
  <c r="N89" i="23"/>
  <c r="O88" i="22"/>
  <c r="O89" i="22" s="1"/>
  <c r="N89" i="22"/>
  <c r="O88" i="11"/>
  <c r="O89" i="11" s="1"/>
  <c r="N89" i="11"/>
  <c r="O88" i="10"/>
  <c r="O89" i="10" s="1"/>
  <c r="N89" i="10"/>
  <c r="O88" i="9"/>
  <c r="O89" i="9" s="1"/>
  <c r="N89" i="9"/>
  <c r="O88" i="8"/>
  <c r="O89" i="8" s="1"/>
  <c r="N89" i="8"/>
  <c r="O88" i="7"/>
  <c r="O89" i="7" s="1"/>
  <c r="N89" i="7"/>
  <c r="N89" i="6"/>
  <c r="O88" i="6"/>
  <c r="O89" i="6" s="1"/>
  <c r="N89" i="5"/>
  <c r="O88" i="5"/>
  <c r="O89" i="5" s="1"/>
  <c r="M89" i="3"/>
  <c r="O88" i="3"/>
  <c r="O89" i="3" s="1"/>
  <c r="N89" i="3"/>
  <c r="F108" i="57"/>
  <c r="D109" i="54"/>
  <c r="G108" i="54"/>
  <c r="J106" i="46"/>
  <c r="D108" i="46"/>
  <c r="B108" i="46" s="1"/>
  <c r="E108" i="46"/>
  <c r="G107" i="46"/>
  <c r="H107" i="47"/>
  <c r="I107" i="47"/>
  <c r="F108" i="47"/>
  <c r="B108" i="47"/>
  <c r="B108" i="45"/>
  <c r="F108" i="45"/>
  <c r="H107" i="45"/>
  <c r="I107" i="45"/>
  <c r="I108" i="44"/>
  <c r="H108" i="44"/>
  <c r="E109" i="44"/>
  <c r="F109" i="44" s="1"/>
  <c r="B109" i="44"/>
  <c r="G108" i="42"/>
  <c r="D109" i="42"/>
  <c r="E108" i="41"/>
  <c r="F108" i="41" s="1"/>
  <c r="B108" i="41"/>
  <c r="H107" i="41"/>
  <c r="I107" i="41"/>
  <c r="J114" i="3"/>
  <c r="J107" i="42"/>
  <c r="E108" i="38"/>
  <c r="F108" i="38" s="1"/>
  <c r="B108" i="38"/>
  <c r="I107" i="38"/>
  <c r="H107" i="38"/>
  <c r="J110" i="27"/>
  <c r="J106" i="43"/>
  <c r="J112" i="23"/>
  <c r="J115" i="8"/>
  <c r="J115" i="6"/>
  <c r="J106" i="39"/>
  <c r="G107" i="37"/>
  <c r="D108" i="37"/>
  <c r="E108" i="37"/>
  <c r="G111" i="27"/>
  <c r="D112" i="27"/>
  <c r="E112" i="27"/>
  <c r="G110" i="28"/>
  <c r="D111" i="28"/>
  <c r="E111" i="28"/>
  <c r="J105" i="40"/>
  <c r="G118" i="7"/>
  <c r="D119" i="7"/>
  <c r="E119" i="7"/>
  <c r="G117" i="11"/>
  <c r="D118" i="11"/>
  <c r="E118" i="11"/>
  <c r="G106" i="40"/>
  <c r="D107" i="40"/>
  <c r="E107" i="40"/>
  <c r="J109" i="29"/>
  <c r="G116" i="8"/>
  <c r="D117" i="8"/>
  <c r="E117" i="8"/>
  <c r="G116" i="6"/>
  <c r="D117" i="6"/>
  <c r="E117" i="6"/>
  <c r="G115" i="5"/>
  <c r="D116" i="5"/>
  <c r="E116" i="5"/>
  <c r="G110" i="29"/>
  <c r="D111" i="29"/>
  <c r="E111" i="29"/>
  <c r="G115" i="4"/>
  <c r="D116" i="4"/>
  <c r="E116" i="4"/>
  <c r="J109" i="28"/>
  <c r="G110" i="31"/>
  <c r="D111" i="31"/>
  <c r="E111" i="31"/>
  <c r="J108" i="30"/>
  <c r="G114" i="25"/>
  <c r="D115" i="25"/>
  <c r="E115" i="25"/>
  <c r="J117" i="10"/>
  <c r="J113" i="22"/>
  <c r="J116" i="11"/>
  <c r="G112" i="24"/>
  <c r="D113" i="24"/>
  <c r="E113" i="24"/>
  <c r="G107" i="43"/>
  <c r="D108" i="43"/>
  <c r="E108" i="43"/>
  <c r="G109" i="30"/>
  <c r="D110" i="30"/>
  <c r="E110" i="30"/>
  <c r="G107" i="39"/>
  <c r="D108" i="39"/>
  <c r="E108" i="39"/>
  <c r="G118" i="10"/>
  <c r="D119" i="10"/>
  <c r="E119" i="10"/>
  <c r="G114" i="22"/>
  <c r="D115" i="22"/>
  <c r="E115" i="22"/>
  <c r="J114" i="5"/>
  <c r="G113" i="23"/>
  <c r="D114" i="23"/>
  <c r="E114" i="23"/>
  <c r="G117" i="9"/>
  <c r="D118" i="9"/>
  <c r="E118" i="9"/>
  <c r="J114" i="4"/>
  <c r="J109" i="31"/>
  <c r="J113" i="25"/>
  <c r="J106" i="37"/>
  <c r="J111" i="24"/>
  <c r="J117" i="7"/>
  <c r="J116" i="9"/>
  <c r="G115" i="3"/>
  <c r="D116" i="3"/>
  <c r="E116" i="3"/>
  <c r="H111" i="49" l="1"/>
  <c r="I111" i="49"/>
  <c r="J111" i="49" s="1"/>
  <c r="D112" i="48"/>
  <c r="B112" i="48" s="1"/>
  <c r="G111" i="48"/>
  <c r="E112" i="48"/>
  <c r="F112" i="48" s="1"/>
  <c r="G112" i="49"/>
  <c r="D113" i="49"/>
  <c r="B113" i="49" s="1"/>
  <c r="E113" i="49"/>
  <c r="F113" i="49" s="1"/>
  <c r="J110" i="49"/>
  <c r="J108" i="13"/>
  <c r="G109" i="13"/>
  <c r="D110" i="13"/>
  <c r="B110" i="13" s="1"/>
  <c r="E109" i="54"/>
  <c r="F109" i="54" s="1"/>
  <c r="B109" i="54"/>
  <c r="H108" i="54"/>
  <c r="M88" i="54" s="1"/>
  <c r="I108" i="54"/>
  <c r="N88" i="54" s="1"/>
  <c r="J107" i="57"/>
  <c r="M89" i="55"/>
  <c r="B109" i="55"/>
  <c r="G108" i="57"/>
  <c r="D109" i="57"/>
  <c r="E109" i="57"/>
  <c r="F108" i="46"/>
  <c r="G108" i="46" s="1"/>
  <c r="I107" i="46"/>
  <c r="H107" i="46"/>
  <c r="D109" i="47"/>
  <c r="E109" i="47" s="1"/>
  <c r="G108" i="47"/>
  <c r="J107" i="47"/>
  <c r="J107" i="45"/>
  <c r="G108" i="45"/>
  <c r="E109" i="45"/>
  <c r="D109" i="45"/>
  <c r="D110" i="44"/>
  <c r="G109" i="44"/>
  <c r="J108" i="44"/>
  <c r="J107" i="41"/>
  <c r="D109" i="41"/>
  <c r="B109" i="41" s="1"/>
  <c r="G108" i="41"/>
  <c r="E109" i="41"/>
  <c r="G108" i="38"/>
  <c r="D109" i="38"/>
  <c r="E109" i="42"/>
  <c r="F109" i="42" s="1"/>
  <c r="B109" i="42"/>
  <c r="J107" i="38"/>
  <c r="I108" i="42"/>
  <c r="H108" i="42"/>
  <c r="H115" i="3"/>
  <c r="I115" i="3"/>
  <c r="B114" i="23"/>
  <c r="F114" i="23"/>
  <c r="B115" i="22"/>
  <c r="F115" i="22"/>
  <c r="H118" i="10"/>
  <c r="I118" i="10"/>
  <c r="B108" i="43"/>
  <c r="F108" i="43"/>
  <c r="I112" i="24"/>
  <c r="H112" i="24"/>
  <c r="B111" i="29"/>
  <c r="F111" i="29"/>
  <c r="H115" i="5"/>
  <c r="I115" i="5"/>
  <c r="B118" i="11"/>
  <c r="F118" i="11"/>
  <c r="I118" i="7"/>
  <c r="H118" i="7"/>
  <c r="H110" i="28"/>
  <c r="I110" i="28"/>
  <c r="H113" i="23"/>
  <c r="I113" i="23"/>
  <c r="B110" i="30"/>
  <c r="F110" i="30"/>
  <c r="H107" i="43"/>
  <c r="I107" i="43"/>
  <c r="B115" i="25"/>
  <c r="F115" i="25"/>
  <c r="B111" i="31"/>
  <c r="F111" i="31"/>
  <c r="B116" i="4"/>
  <c r="F116" i="4"/>
  <c r="H110" i="29"/>
  <c r="I110" i="29"/>
  <c r="B117" i="8"/>
  <c r="F117" i="8"/>
  <c r="B107" i="40"/>
  <c r="F107" i="40"/>
  <c r="I117" i="11"/>
  <c r="H117" i="11"/>
  <c r="B108" i="37"/>
  <c r="F108" i="37"/>
  <c r="B118" i="9"/>
  <c r="F118" i="9"/>
  <c r="H114" i="22"/>
  <c r="I114" i="22"/>
  <c r="H117" i="9"/>
  <c r="I117" i="9"/>
  <c r="B108" i="39"/>
  <c r="F108" i="39"/>
  <c r="I109" i="30"/>
  <c r="H109" i="30"/>
  <c r="H114" i="25"/>
  <c r="I114" i="25"/>
  <c r="H110" i="31"/>
  <c r="I110" i="31"/>
  <c r="H115" i="4"/>
  <c r="I115" i="4"/>
  <c r="B117" i="6"/>
  <c r="F117" i="6"/>
  <c r="H116" i="8"/>
  <c r="I116" i="8"/>
  <c r="H106" i="40"/>
  <c r="I106" i="40"/>
  <c r="B112" i="27"/>
  <c r="F112" i="27"/>
  <c r="H107" i="37"/>
  <c r="I107" i="37"/>
  <c r="B116" i="3"/>
  <c r="F116" i="3"/>
  <c r="B119" i="10"/>
  <c r="F119" i="10"/>
  <c r="H107" i="39"/>
  <c r="I107" i="39"/>
  <c r="B113" i="24"/>
  <c r="F113" i="24"/>
  <c r="B116" i="5"/>
  <c r="F116" i="5"/>
  <c r="H116" i="6"/>
  <c r="I116" i="6"/>
  <c r="B119" i="7"/>
  <c r="F119" i="7"/>
  <c r="B111" i="28"/>
  <c r="F111" i="28"/>
  <c r="H111" i="27"/>
  <c r="I111" i="27"/>
  <c r="D113" i="48" l="1"/>
  <c r="B113" i="48" s="1"/>
  <c r="G112" i="48"/>
  <c r="E113" i="48"/>
  <c r="F113" i="48" s="1"/>
  <c r="H111" i="48"/>
  <c r="I111" i="48"/>
  <c r="J111" i="48" s="1"/>
  <c r="G113" i="49"/>
  <c r="D114" i="49"/>
  <c r="B114" i="49" s="1"/>
  <c r="E114" i="49"/>
  <c r="F114" i="49" s="1"/>
  <c r="H112" i="49"/>
  <c r="I112" i="49"/>
  <c r="E110" i="13"/>
  <c r="F110" i="13" s="1"/>
  <c r="G110" i="13" s="1"/>
  <c r="I109" i="13"/>
  <c r="H109" i="13"/>
  <c r="N89" i="55"/>
  <c r="O89" i="55"/>
  <c r="M89" i="54"/>
  <c r="N18" i="2"/>
  <c r="N89" i="54"/>
  <c r="O88" i="54"/>
  <c r="O89" i="54" s="1"/>
  <c r="O18" i="2"/>
  <c r="D109" i="46"/>
  <c r="B109" i="46" s="1"/>
  <c r="E109" i="46"/>
  <c r="F109" i="57"/>
  <c r="B109" i="57"/>
  <c r="J108" i="54"/>
  <c r="H108" i="57"/>
  <c r="M88" i="57" s="1"/>
  <c r="M89" i="57" s="1"/>
  <c r="I108" i="57"/>
  <c r="N88" i="57" s="1"/>
  <c r="D110" i="55"/>
  <c r="D110" i="54"/>
  <c r="G109" i="54"/>
  <c r="H108" i="47"/>
  <c r="I108" i="47"/>
  <c r="F109" i="47"/>
  <c r="B109" i="47"/>
  <c r="H108" i="46"/>
  <c r="I108" i="46"/>
  <c r="J107" i="46"/>
  <c r="B109" i="45"/>
  <c r="F109" i="45"/>
  <c r="I108" i="45"/>
  <c r="H108" i="45"/>
  <c r="I109" i="44"/>
  <c r="H109" i="44"/>
  <c r="E110" i="44"/>
  <c r="F110" i="44" s="1"/>
  <c r="B110" i="44"/>
  <c r="F109" i="41"/>
  <c r="D110" i="41" s="1"/>
  <c r="I108" i="38"/>
  <c r="H108" i="38"/>
  <c r="G109" i="42"/>
  <c r="D110" i="42"/>
  <c r="J108" i="42"/>
  <c r="H108" i="41"/>
  <c r="I108" i="41"/>
  <c r="E109" i="38"/>
  <c r="F109" i="38" s="1"/>
  <c r="B109" i="38"/>
  <c r="J109" i="30"/>
  <c r="J117" i="11"/>
  <c r="J107" i="43"/>
  <c r="J118" i="10"/>
  <c r="J115" i="3"/>
  <c r="J118" i="7"/>
  <c r="J111" i="27"/>
  <c r="G119" i="7"/>
  <c r="D120" i="7"/>
  <c r="E120" i="7"/>
  <c r="G116" i="5"/>
  <c r="D117" i="5"/>
  <c r="E117" i="5"/>
  <c r="J107" i="39"/>
  <c r="G116" i="3"/>
  <c r="D117" i="3"/>
  <c r="E117" i="3"/>
  <c r="G112" i="27"/>
  <c r="D113" i="27"/>
  <c r="E113" i="27"/>
  <c r="J116" i="8"/>
  <c r="J115" i="4"/>
  <c r="J114" i="25"/>
  <c r="G108" i="39"/>
  <c r="D109" i="39"/>
  <c r="E109" i="39"/>
  <c r="J114" i="22"/>
  <c r="G108" i="37"/>
  <c r="D109" i="37"/>
  <c r="E109" i="37"/>
  <c r="G107" i="40"/>
  <c r="D108" i="40"/>
  <c r="E108" i="40"/>
  <c r="J110" i="29"/>
  <c r="G111" i="31"/>
  <c r="D112" i="31"/>
  <c r="E112" i="31"/>
  <c r="J113" i="23"/>
  <c r="J115" i="5"/>
  <c r="G114" i="23"/>
  <c r="D115" i="23"/>
  <c r="E115" i="23"/>
  <c r="J112" i="24"/>
  <c r="G111" i="28"/>
  <c r="D112" i="28"/>
  <c r="E112" i="28"/>
  <c r="J116" i="6"/>
  <c r="G113" i="24"/>
  <c r="D114" i="24"/>
  <c r="E114" i="24"/>
  <c r="G119" i="10"/>
  <c r="D120" i="10"/>
  <c r="E120" i="10"/>
  <c r="J107" i="37"/>
  <c r="J106" i="40"/>
  <c r="G117" i="6"/>
  <c r="D118" i="6"/>
  <c r="E118" i="6"/>
  <c r="J110" i="31"/>
  <c r="J117" i="9"/>
  <c r="G118" i="9"/>
  <c r="D119" i="9"/>
  <c r="E119" i="9"/>
  <c r="G117" i="8"/>
  <c r="D118" i="8"/>
  <c r="E118" i="8"/>
  <c r="G116" i="4"/>
  <c r="D117" i="4"/>
  <c r="E117" i="4"/>
  <c r="G115" i="25"/>
  <c r="D116" i="25"/>
  <c r="E116" i="25"/>
  <c r="G110" i="30"/>
  <c r="D111" i="30"/>
  <c r="E111" i="30"/>
  <c r="J110" i="28"/>
  <c r="G118" i="11"/>
  <c r="D119" i="11"/>
  <c r="E119" i="11"/>
  <c r="G111" i="29"/>
  <c r="D112" i="29"/>
  <c r="E112" i="29"/>
  <c r="G108" i="43"/>
  <c r="D109" i="43"/>
  <c r="E109" i="43"/>
  <c r="G115" i="22"/>
  <c r="D116" i="22"/>
  <c r="E116" i="22"/>
  <c r="G113" i="48" l="1"/>
  <c r="D114" i="48"/>
  <c r="B114" i="48" s="1"/>
  <c r="E114" i="48"/>
  <c r="F114" i="48" s="1"/>
  <c r="G114" i="49"/>
  <c r="D115" i="49"/>
  <c r="B115" i="49" s="1"/>
  <c r="E115" i="49"/>
  <c r="F115" i="49" s="1"/>
  <c r="J112" i="49"/>
  <c r="H112" i="48"/>
  <c r="I112" i="48"/>
  <c r="H113" i="49"/>
  <c r="I113" i="49"/>
  <c r="J113" i="49" s="1"/>
  <c r="D111" i="13"/>
  <c r="B111" i="13" s="1"/>
  <c r="J109" i="13"/>
  <c r="H110" i="13"/>
  <c r="I110" i="13"/>
  <c r="P18" i="2"/>
  <c r="F109" i="46"/>
  <c r="E110" i="46" s="1"/>
  <c r="N89" i="57"/>
  <c r="O88" i="57"/>
  <c r="O89" i="57" s="1"/>
  <c r="J108" i="57"/>
  <c r="E110" i="55"/>
  <c r="F110" i="55" s="1"/>
  <c r="B110" i="55"/>
  <c r="I109" i="54"/>
  <c r="H109" i="54"/>
  <c r="G109" i="57"/>
  <c r="D110" i="57"/>
  <c r="E110" i="57"/>
  <c r="E110" i="54"/>
  <c r="F110" i="54" s="1"/>
  <c r="B110" i="54"/>
  <c r="J108" i="47"/>
  <c r="D110" i="47"/>
  <c r="E110" i="47" s="1"/>
  <c r="G109" i="47"/>
  <c r="J108" i="46"/>
  <c r="D110" i="46"/>
  <c r="B110" i="46" s="1"/>
  <c r="G109" i="41"/>
  <c r="H109" i="41" s="1"/>
  <c r="D110" i="45"/>
  <c r="E110" i="45"/>
  <c r="G109" i="45"/>
  <c r="J108" i="45"/>
  <c r="G110" i="44"/>
  <c r="D111" i="44"/>
  <c r="J109" i="44"/>
  <c r="J108" i="38"/>
  <c r="G109" i="38"/>
  <c r="D110" i="38"/>
  <c r="E110" i="42"/>
  <c r="F110" i="42" s="1"/>
  <c r="B110" i="42"/>
  <c r="I109" i="42"/>
  <c r="H109" i="42"/>
  <c r="E110" i="41"/>
  <c r="F110" i="41" s="1"/>
  <c r="B110" i="41"/>
  <c r="J108" i="41"/>
  <c r="I118" i="11"/>
  <c r="H118" i="11"/>
  <c r="I115" i="22"/>
  <c r="H115" i="22"/>
  <c r="B119" i="11"/>
  <c r="F119" i="11"/>
  <c r="B111" i="30"/>
  <c r="F111" i="30"/>
  <c r="H115" i="25"/>
  <c r="I115" i="25"/>
  <c r="B119" i="9"/>
  <c r="F119" i="9"/>
  <c r="H112" i="27"/>
  <c r="I112" i="27"/>
  <c r="B118" i="8"/>
  <c r="F118" i="8"/>
  <c r="I118" i="9"/>
  <c r="H118" i="9"/>
  <c r="B118" i="6"/>
  <c r="F118" i="6"/>
  <c r="B114" i="24"/>
  <c r="F114" i="24"/>
  <c r="B112" i="28"/>
  <c r="F112" i="28"/>
  <c r="B115" i="23"/>
  <c r="F115" i="23"/>
  <c r="B109" i="37"/>
  <c r="F109" i="37"/>
  <c r="B109" i="39"/>
  <c r="F109" i="39"/>
  <c r="B120" i="7"/>
  <c r="F120" i="7"/>
  <c r="B117" i="4"/>
  <c r="F117" i="4"/>
  <c r="B120" i="10"/>
  <c r="F120" i="10"/>
  <c r="H113" i="24"/>
  <c r="I113" i="24"/>
  <c r="H111" i="28"/>
  <c r="I111" i="28"/>
  <c r="H114" i="23"/>
  <c r="I114" i="23"/>
  <c r="B112" i="31"/>
  <c r="F112" i="31"/>
  <c r="B108" i="40"/>
  <c r="F108" i="40"/>
  <c r="I108" i="37"/>
  <c r="H108" i="37"/>
  <c r="H108" i="39"/>
  <c r="I108" i="39"/>
  <c r="B117" i="3"/>
  <c r="F117" i="3"/>
  <c r="B117" i="5"/>
  <c r="F117" i="5"/>
  <c r="H119" i="7"/>
  <c r="I119" i="7"/>
  <c r="B112" i="29"/>
  <c r="F112" i="29"/>
  <c r="H110" i="30"/>
  <c r="I110" i="30"/>
  <c r="B109" i="43"/>
  <c r="F109" i="43"/>
  <c r="H111" i="29"/>
  <c r="I111" i="29"/>
  <c r="H117" i="8"/>
  <c r="I117" i="8"/>
  <c r="H117" i="6"/>
  <c r="I117" i="6"/>
  <c r="B116" i="22"/>
  <c r="F116" i="22"/>
  <c r="H108" i="43"/>
  <c r="I108" i="43"/>
  <c r="B116" i="25"/>
  <c r="F116" i="25"/>
  <c r="H116" i="4"/>
  <c r="I116" i="4"/>
  <c r="H119" i="10"/>
  <c r="I119" i="10"/>
  <c r="I111" i="31"/>
  <c r="H111" i="31"/>
  <c r="H107" i="40"/>
  <c r="I107" i="40"/>
  <c r="B113" i="27"/>
  <c r="F113" i="27"/>
  <c r="H116" i="3"/>
  <c r="I116" i="3"/>
  <c r="H116" i="5"/>
  <c r="I116" i="5"/>
  <c r="H114" i="49" l="1"/>
  <c r="I114" i="49"/>
  <c r="J114" i="49" s="1"/>
  <c r="D115" i="48"/>
  <c r="B115" i="48" s="1"/>
  <c r="G114" i="48"/>
  <c r="E115" i="48"/>
  <c r="F115" i="48" s="1"/>
  <c r="G115" i="49"/>
  <c r="D116" i="49"/>
  <c r="B116" i="49" s="1"/>
  <c r="E116" i="49"/>
  <c r="F116" i="49" s="1"/>
  <c r="J112" i="48"/>
  <c r="I113" i="48"/>
  <c r="H113" i="48"/>
  <c r="E111" i="13"/>
  <c r="F111" i="13" s="1"/>
  <c r="J110" i="13"/>
  <c r="G109" i="46"/>
  <c r="H109" i="46" s="1"/>
  <c r="J109" i="54"/>
  <c r="B110" i="57"/>
  <c r="F110" i="57"/>
  <c r="H109" i="57"/>
  <c r="I109" i="57"/>
  <c r="D111" i="54"/>
  <c r="G110" i="54"/>
  <c r="D111" i="55"/>
  <c r="G110" i="55"/>
  <c r="I109" i="41"/>
  <c r="J109" i="41" s="1"/>
  <c r="F110" i="46"/>
  <c r="G110" i="46" s="1"/>
  <c r="H109" i="47"/>
  <c r="I109" i="47"/>
  <c r="B110" i="47"/>
  <c r="F110" i="47"/>
  <c r="H109" i="45"/>
  <c r="I109" i="45"/>
  <c r="B110" i="45"/>
  <c r="F110" i="45"/>
  <c r="E111" i="44"/>
  <c r="F111" i="44" s="1"/>
  <c r="B111" i="44"/>
  <c r="I110" i="44"/>
  <c r="H110" i="44"/>
  <c r="G110" i="41"/>
  <c r="D111" i="41"/>
  <c r="D111" i="42"/>
  <c r="B111" i="42" s="1"/>
  <c r="G110" i="42"/>
  <c r="E111" i="42"/>
  <c r="J109" i="42"/>
  <c r="E110" i="38"/>
  <c r="F110" i="38" s="1"/>
  <c r="B110" i="38"/>
  <c r="I109" i="38"/>
  <c r="H109" i="38"/>
  <c r="J118" i="9"/>
  <c r="J118" i="11"/>
  <c r="J111" i="31"/>
  <c r="J108" i="37"/>
  <c r="J116" i="5"/>
  <c r="G113" i="27"/>
  <c r="D114" i="27"/>
  <c r="E114" i="27"/>
  <c r="J116" i="4"/>
  <c r="J108" i="43"/>
  <c r="J117" i="6"/>
  <c r="J111" i="29"/>
  <c r="J110" i="30"/>
  <c r="J119" i="7"/>
  <c r="G117" i="3"/>
  <c r="D118" i="3"/>
  <c r="E118" i="3"/>
  <c r="G112" i="31"/>
  <c r="D113" i="31"/>
  <c r="E113" i="31"/>
  <c r="J111" i="28"/>
  <c r="G120" i="10"/>
  <c r="D121" i="10"/>
  <c r="E121" i="10"/>
  <c r="G120" i="7"/>
  <c r="D121" i="7"/>
  <c r="E121" i="7"/>
  <c r="G109" i="37"/>
  <c r="D110" i="37"/>
  <c r="E110" i="37"/>
  <c r="G112" i="28"/>
  <c r="D113" i="28"/>
  <c r="E113" i="28"/>
  <c r="G118" i="6"/>
  <c r="D119" i="6"/>
  <c r="E119" i="6"/>
  <c r="G118" i="8"/>
  <c r="D119" i="8"/>
  <c r="E119" i="8"/>
  <c r="G119" i="9"/>
  <c r="D120" i="9"/>
  <c r="E120" i="9"/>
  <c r="G111" i="30"/>
  <c r="D112" i="30"/>
  <c r="E112" i="30"/>
  <c r="J115" i="22"/>
  <c r="J116" i="3"/>
  <c r="J107" i="40"/>
  <c r="J119" i="10"/>
  <c r="G116" i="25"/>
  <c r="D117" i="25"/>
  <c r="E117" i="25"/>
  <c r="G116" i="22"/>
  <c r="D117" i="22"/>
  <c r="E117" i="22"/>
  <c r="J117" i="8"/>
  <c r="G109" i="43"/>
  <c r="D110" i="43"/>
  <c r="E110" i="43"/>
  <c r="G112" i="29"/>
  <c r="D113" i="29"/>
  <c r="E113" i="29"/>
  <c r="G117" i="5"/>
  <c r="D118" i="5"/>
  <c r="E118" i="5"/>
  <c r="J108" i="39"/>
  <c r="G108" i="40"/>
  <c r="D109" i="40"/>
  <c r="E109" i="40"/>
  <c r="J114" i="23"/>
  <c r="J113" i="24"/>
  <c r="G117" i="4"/>
  <c r="D118" i="4"/>
  <c r="E118" i="4"/>
  <c r="G109" i="39"/>
  <c r="D110" i="39"/>
  <c r="E110" i="39"/>
  <c r="G115" i="23"/>
  <c r="D116" i="23"/>
  <c r="E116" i="23"/>
  <c r="G114" i="24"/>
  <c r="D115" i="24"/>
  <c r="E115" i="24"/>
  <c r="J112" i="27"/>
  <c r="J115" i="25"/>
  <c r="G119" i="11"/>
  <c r="D120" i="11"/>
  <c r="E120" i="11"/>
  <c r="D117" i="49" l="1"/>
  <c r="B117" i="49" s="1"/>
  <c r="G116" i="49"/>
  <c r="E117" i="49"/>
  <c r="F117" i="49" s="1"/>
  <c r="G115" i="48"/>
  <c r="D116" i="48"/>
  <c r="B116" i="48" s="1"/>
  <c r="E116" i="48"/>
  <c r="F116" i="48" s="1"/>
  <c r="I114" i="48"/>
  <c r="H114" i="48"/>
  <c r="I109" i="46"/>
  <c r="H115" i="49"/>
  <c r="I115" i="49"/>
  <c r="J115" i="49" s="1"/>
  <c r="J113" i="48"/>
  <c r="D112" i="13"/>
  <c r="B112" i="13" s="1"/>
  <c r="G111" i="13"/>
  <c r="E111" i="55"/>
  <c r="F111" i="55" s="1"/>
  <c r="B111" i="55"/>
  <c r="H110" i="54"/>
  <c r="I110" i="54"/>
  <c r="E111" i="54"/>
  <c r="F111" i="54" s="1"/>
  <c r="B111" i="54"/>
  <c r="J109" i="46"/>
  <c r="J109" i="57"/>
  <c r="I110" i="55"/>
  <c r="H110" i="55"/>
  <c r="D111" i="57"/>
  <c r="B111" i="57" s="1"/>
  <c r="G110" i="57"/>
  <c r="E111" i="57"/>
  <c r="E111" i="46"/>
  <c r="D111" i="46"/>
  <c r="B111" i="46" s="1"/>
  <c r="J109" i="47"/>
  <c r="I110" i="46"/>
  <c r="H110" i="46"/>
  <c r="D111" i="47"/>
  <c r="E111" i="47" s="1"/>
  <c r="G110" i="47"/>
  <c r="J109" i="45"/>
  <c r="D111" i="45"/>
  <c r="E111" i="45"/>
  <c r="G110" i="45"/>
  <c r="G111" i="44"/>
  <c r="D112" i="44"/>
  <c r="B112" i="44" s="1"/>
  <c r="E112" i="44"/>
  <c r="J110" i="44"/>
  <c r="D111" i="38"/>
  <c r="B111" i="38" s="1"/>
  <c r="G110" i="38"/>
  <c r="E111" i="38"/>
  <c r="H110" i="42"/>
  <c r="I110" i="42"/>
  <c r="J109" i="38"/>
  <c r="E111" i="41"/>
  <c r="F111" i="41" s="1"/>
  <c r="B111" i="41"/>
  <c r="F111" i="42"/>
  <c r="H110" i="41"/>
  <c r="I110" i="41"/>
  <c r="B110" i="39"/>
  <c r="F110" i="39"/>
  <c r="H117" i="4"/>
  <c r="I117" i="4"/>
  <c r="B109" i="40"/>
  <c r="F109" i="40"/>
  <c r="B118" i="5"/>
  <c r="F118" i="5"/>
  <c r="H112" i="29"/>
  <c r="I112" i="29"/>
  <c r="B112" i="30"/>
  <c r="F112" i="30"/>
  <c r="H119" i="9"/>
  <c r="I119" i="9"/>
  <c r="B113" i="28"/>
  <c r="F113" i="28"/>
  <c r="I109" i="37"/>
  <c r="H109" i="37"/>
  <c r="B118" i="3"/>
  <c r="F118" i="3"/>
  <c r="B116" i="23"/>
  <c r="F116" i="23"/>
  <c r="H109" i="39"/>
  <c r="I109" i="39"/>
  <c r="I108" i="40"/>
  <c r="H108" i="40"/>
  <c r="H117" i="5"/>
  <c r="I117" i="5"/>
  <c r="B117" i="25"/>
  <c r="F117" i="25"/>
  <c r="H111" i="30"/>
  <c r="I111" i="30"/>
  <c r="B119" i="6"/>
  <c r="F119" i="6"/>
  <c r="H112" i="28"/>
  <c r="I112" i="28"/>
  <c r="B121" i="10"/>
  <c r="F121" i="10"/>
  <c r="B113" i="31"/>
  <c r="F113" i="31"/>
  <c r="I117" i="3"/>
  <c r="H117" i="3"/>
  <c r="B114" i="27"/>
  <c r="F114" i="27"/>
  <c r="B120" i="11"/>
  <c r="F120" i="11"/>
  <c r="H119" i="11"/>
  <c r="I119" i="11"/>
  <c r="B115" i="24"/>
  <c r="F115" i="24"/>
  <c r="H115" i="23"/>
  <c r="I115" i="23"/>
  <c r="B110" i="43"/>
  <c r="F110" i="43"/>
  <c r="B117" i="22"/>
  <c r="F117" i="22"/>
  <c r="H116" i="25"/>
  <c r="I116" i="25"/>
  <c r="B119" i="8"/>
  <c r="F119" i="8"/>
  <c r="H118" i="6"/>
  <c r="I118" i="6"/>
  <c r="B121" i="7"/>
  <c r="F121" i="7"/>
  <c r="H120" i="10"/>
  <c r="I120" i="10"/>
  <c r="I112" i="31"/>
  <c r="H112" i="31"/>
  <c r="H113" i="27"/>
  <c r="I113" i="27"/>
  <c r="H114" i="24"/>
  <c r="I114" i="24"/>
  <c r="B118" i="4"/>
  <c r="F118" i="4"/>
  <c r="B113" i="29"/>
  <c r="F113" i="29"/>
  <c r="H109" i="43"/>
  <c r="I109" i="43"/>
  <c r="H116" i="22"/>
  <c r="I116" i="22"/>
  <c r="B120" i="9"/>
  <c r="F120" i="9"/>
  <c r="H118" i="8"/>
  <c r="I118" i="8"/>
  <c r="B110" i="37"/>
  <c r="F110" i="37"/>
  <c r="H120" i="7"/>
  <c r="I120" i="7"/>
  <c r="H115" i="48" l="1"/>
  <c r="I115" i="48"/>
  <c r="J115" i="48" s="1"/>
  <c r="G116" i="48"/>
  <c r="D117" i="48"/>
  <c r="B117" i="48" s="1"/>
  <c r="E117" i="48"/>
  <c r="F117" i="48" s="1"/>
  <c r="G117" i="49"/>
  <c r="D118" i="49"/>
  <c r="J114" i="48"/>
  <c r="H116" i="49"/>
  <c r="I116" i="49"/>
  <c r="J116" i="49" s="1"/>
  <c r="E112" i="13"/>
  <c r="F112" i="13" s="1"/>
  <c r="H111" i="13"/>
  <c r="I111" i="13"/>
  <c r="F111" i="57"/>
  <c r="G111" i="57" s="1"/>
  <c r="H110" i="57"/>
  <c r="I110" i="57"/>
  <c r="J110" i="54"/>
  <c r="G111" i="54"/>
  <c r="D112" i="54"/>
  <c r="J110" i="55"/>
  <c r="G111" i="55"/>
  <c r="D112" i="55"/>
  <c r="F111" i="46"/>
  <c r="G111" i="46" s="1"/>
  <c r="J110" i="46"/>
  <c r="H110" i="47"/>
  <c r="I110" i="47"/>
  <c r="B111" i="47"/>
  <c r="F111" i="47"/>
  <c r="I110" i="45"/>
  <c r="H110" i="45"/>
  <c r="B111" i="45"/>
  <c r="F111" i="45"/>
  <c r="F112" i="44"/>
  <c r="E113" i="44" s="1"/>
  <c r="H111" i="44"/>
  <c r="I111" i="44"/>
  <c r="J110" i="41"/>
  <c r="F111" i="38"/>
  <c r="D112" i="38" s="1"/>
  <c r="B112" i="38" s="1"/>
  <c r="D112" i="41"/>
  <c r="G111" i="41"/>
  <c r="G111" i="42"/>
  <c r="D112" i="42"/>
  <c r="B112" i="42" s="1"/>
  <c r="E112" i="42"/>
  <c r="I110" i="38"/>
  <c r="H110" i="38"/>
  <c r="J110" i="42"/>
  <c r="J117" i="4"/>
  <c r="J108" i="40"/>
  <c r="J117" i="3"/>
  <c r="J109" i="37"/>
  <c r="J112" i="31"/>
  <c r="J120" i="7"/>
  <c r="J118" i="8"/>
  <c r="J116" i="22"/>
  <c r="G113" i="29"/>
  <c r="D114" i="29"/>
  <c r="E114" i="29"/>
  <c r="J114" i="24"/>
  <c r="G121" i="7"/>
  <c r="D122" i="7"/>
  <c r="E122" i="7"/>
  <c r="G119" i="8"/>
  <c r="D120" i="8"/>
  <c r="E120" i="8"/>
  <c r="G117" i="22"/>
  <c r="D118" i="22"/>
  <c r="E118" i="22"/>
  <c r="J115" i="23"/>
  <c r="J119" i="11"/>
  <c r="G114" i="27"/>
  <c r="D115" i="27"/>
  <c r="E115" i="27"/>
  <c r="G113" i="31"/>
  <c r="D114" i="31"/>
  <c r="E114" i="31"/>
  <c r="J112" i="28"/>
  <c r="J111" i="30"/>
  <c r="J117" i="5"/>
  <c r="J109" i="39"/>
  <c r="G118" i="3"/>
  <c r="D119" i="3"/>
  <c r="E119" i="3"/>
  <c r="G113" i="28"/>
  <c r="D114" i="28"/>
  <c r="E114" i="28"/>
  <c r="G112" i="30"/>
  <c r="D113" i="30"/>
  <c r="E113" i="30"/>
  <c r="G118" i="5"/>
  <c r="D119" i="5"/>
  <c r="E119" i="5"/>
  <c r="G110" i="37"/>
  <c r="D111" i="37"/>
  <c r="E111" i="37"/>
  <c r="G120" i="9"/>
  <c r="D121" i="9"/>
  <c r="E121" i="9"/>
  <c r="J109" i="43"/>
  <c r="G118" i="4"/>
  <c r="D119" i="4"/>
  <c r="E119" i="4"/>
  <c r="J113" i="27"/>
  <c r="J120" i="10"/>
  <c r="J118" i="6"/>
  <c r="J116" i="25"/>
  <c r="G110" i="43"/>
  <c r="D111" i="43"/>
  <c r="E111" i="43"/>
  <c r="G115" i="24"/>
  <c r="D116" i="24"/>
  <c r="E116" i="24"/>
  <c r="G120" i="11"/>
  <c r="D121" i="11"/>
  <c r="E121" i="11"/>
  <c r="G121" i="10"/>
  <c r="D122" i="10"/>
  <c r="E122" i="10"/>
  <c r="G119" i="6"/>
  <c r="D120" i="6"/>
  <c r="E120" i="6"/>
  <c r="G117" i="25"/>
  <c r="D118" i="25"/>
  <c r="E118" i="25"/>
  <c r="G116" i="23"/>
  <c r="D117" i="23"/>
  <c r="E117" i="23"/>
  <c r="J119" i="9"/>
  <c r="J112" i="29"/>
  <c r="G109" i="40"/>
  <c r="D110" i="40"/>
  <c r="E110" i="40"/>
  <c r="G110" i="39"/>
  <c r="D111" i="39"/>
  <c r="E111" i="39"/>
  <c r="D118" i="48" l="1"/>
  <c r="B118" i="48" s="1"/>
  <c r="G117" i="48"/>
  <c r="E118" i="48"/>
  <c r="F118" i="48" s="1"/>
  <c r="E112" i="57"/>
  <c r="I116" i="48"/>
  <c r="H116" i="48"/>
  <c r="D112" i="57"/>
  <c r="B112" i="57" s="1"/>
  <c r="E118" i="49"/>
  <c r="F118" i="49" s="1"/>
  <c r="B118" i="49"/>
  <c r="I117" i="49"/>
  <c r="H117" i="49"/>
  <c r="J111" i="13"/>
  <c r="G112" i="13"/>
  <c r="D113" i="13"/>
  <c r="B113" i="13" s="1"/>
  <c r="E113" i="13"/>
  <c r="F113" i="13" s="1"/>
  <c r="D112" i="46"/>
  <c r="B112" i="46" s="1"/>
  <c r="J110" i="57"/>
  <c r="H111" i="54"/>
  <c r="I111" i="54"/>
  <c r="E112" i="55"/>
  <c r="F112" i="55" s="1"/>
  <c r="B112" i="55"/>
  <c r="I111" i="57"/>
  <c r="H111" i="57"/>
  <c r="E112" i="54"/>
  <c r="F112" i="54" s="1"/>
  <c r="B112" i="54"/>
  <c r="E112" i="46"/>
  <c r="I111" i="55"/>
  <c r="H111" i="55"/>
  <c r="J110" i="47"/>
  <c r="D112" i="47"/>
  <c r="E112" i="47" s="1"/>
  <c r="G111" i="47"/>
  <c r="I111" i="46"/>
  <c r="H111" i="46"/>
  <c r="E112" i="45"/>
  <c r="G111" i="45"/>
  <c r="D112" i="45"/>
  <c r="J110" i="45"/>
  <c r="D113" i="44"/>
  <c r="B113" i="44" s="1"/>
  <c r="G112" i="44"/>
  <c r="H112" i="44" s="1"/>
  <c r="J111" i="44"/>
  <c r="E112" i="38"/>
  <c r="F112" i="38" s="1"/>
  <c r="G111" i="38"/>
  <c r="H111" i="38" s="1"/>
  <c r="F112" i="42"/>
  <c r="I111" i="42"/>
  <c r="H111" i="42"/>
  <c r="I111" i="41"/>
  <c r="H111" i="41"/>
  <c r="J110" i="38"/>
  <c r="E112" i="41"/>
  <c r="F112" i="41" s="1"/>
  <c r="B112" i="41"/>
  <c r="B120" i="6"/>
  <c r="F120" i="6"/>
  <c r="I121" i="10"/>
  <c r="H121" i="10"/>
  <c r="B111" i="43"/>
  <c r="F111" i="43"/>
  <c r="I118" i="4"/>
  <c r="H118" i="4"/>
  <c r="I120" i="9"/>
  <c r="H120" i="9"/>
  <c r="B113" i="30"/>
  <c r="F113" i="30"/>
  <c r="H113" i="28"/>
  <c r="I113" i="28"/>
  <c r="B115" i="27"/>
  <c r="F115" i="27"/>
  <c r="B120" i="8"/>
  <c r="F120" i="8"/>
  <c r="H121" i="7"/>
  <c r="I121" i="7"/>
  <c r="H113" i="29"/>
  <c r="I113" i="29"/>
  <c r="H110" i="39"/>
  <c r="I110" i="39"/>
  <c r="B110" i="40"/>
  <c r="F110" i="40"/>
  <c r="B118" i="25"/>
  <c r="F118" i="25"/>
  <c r="H119" i="6"/>
  <c r="I119" i="6"/>
  <c r="B116" i="24"/>
  <c r="F116" i="24"/>
  <c r="I110" i="43"/>
  <c r="H110" i="43"/>
  <c r="B119" i="5"/>
  <c r="F119" i="5"/>
  <c r="H112" i="30"/>
  <c r="I112" i="30"/>
  <c r="B114" i="31"/>
  <c r="F114" i="31"/>
  <c r="I114" i="27"/>
  <c r="H114" i="27"/>
  <c r="B118" i="22"/>
  <c r="F118" i="22"/>
  <c r="H119" i="8"/>
  <c r="I119" i="8"/>
  <c r="B111" i="39"/>
  <c r="F111" i="39"/>
  <c r="H109" i="40"/>
  <c r="I109" i="40"/>
  <c r="B117" i="23"/>
  <c r="F117" i="23"/>
  <c r="H117" i="25"/>
  <c r="I117" i="25"/>
  <c r="B121" i="11"/>
  <c r="F121" i="11"/>
  <c r="H115" i="24"/>
  <c r="I115" i="24"/>
  <c r="B111" i="37"/>
  <c r="F111" i="37"/>
  <c r="H118" i="5"/>
  <c r="I118" i="5"/>
  <c r="B119" i="3"/>
  <c r="F119" i="3"/>
  <c r="H113" i="31"/>
  <c r="I113" i="31"/>
  <c r="H117" i="22"/>
  <c r="I117" i="22"/>
  <c r="I116" i="23"/>
  <c r="H116" i="23"/>
  <c r="B122" i="10"/>
  <c r="F122" i="10"/>
  <c r="I120" i="11"/>
  <c r="H120" i="11"/>
  <c r="B119" i="4"/>
  <c r="F119" i="4"/>
  <c r="B121" i="9"/>
  <c r="F121" i="9"/>
  <c r="H110" i="37"/>
  <c r="I110" i="37"/>
  <c r="B114" i="28"/>
  <c r="F114" i="28"/>
  <c r="I118" i="3"/>
  <c r="H118" i="3"/>
  <c r="B122" i="7"/>
  <c r="F122" i="7"/>
  <c r="B114" i="29"/>
  <c r="F114" i="29"/>
  <c r="J116" i="48" l="1"/>
  <c r="F112" i="46"/>
  <c r="G118" i="49"/>
  <c r="D119" i="49"/>
  <c r="B119" i="49" s="1"/>
  <c r="E119" i="49"/>
  <c r="J117" i="49"/>
  <c r="D119" i="48"/>
  <c r="B119" i="48" s="1"/>
  <c r="G118" i="48"/>
  <c r="E119" i="48"/>
  <c r="I117" i="48"/>
  <c r="H117" i="48"/>
  <c r="F112" i="57"/>
  <c r="D114" i="13"/>
  <c r="B114" i="13" s="1"/>
  <c r="G113" i="13"/>
  <c r="E114" i="13"/>
  <c r="F114" i="13" s="1"/>
  <c r="H112" i="13"/>
  <c r="I112" i="13"/>
  <c r="J111" i="54"/>
  <c r="J111" i="55"/>
  <c r="G112" i="55"/>
  <c r="D113" i="55"/>
  <c r="G112" i="54"/>
  <c r="D113" i="54"/>
  <c r="J111" i="57"/>
  <c r="G112" i="46"/>
  <c r="E113" i="46"/>
  <c r="D113" i="46"/>
  <c r="J111" i="46"/>
  <c r="H111" i="47"/>
  <c r="I111" i="47"/>
  <c r="B112" i="47"/>
  <c r="F112" i="47"/>
  <c r="I112" i="44"/>
  <c r="J112" i="44" s="1"/>
  <c r="B112" i="45"/>
  <c r="F112" i="45"/>
  <c r="I111" i="45"/>
  <c r="H111" i="45"/>
  <c r="F113" i="44"/>
  <c r="G113" i="44" s="1"/>
  <c r="I111" i="38"/>
  <c r="J111" i="38" s="1"/>
  <c r="J111" i="42"/>
  <c r="D113" i="41"/>
  <c r="G112" i="41"/>
  <c r="J111" i="41"/>
  <c r="J114" i="27"/>
  <c r="D113" i="38"/>
  <c r="B113" i="38" s="1"/>
  <c r="G112" i="38"/>
  <c r="E113" i="38"/>
  <c r="D113" i="42"/>
  <c r="B113" i="42" s="1"/>
  <c r="G112" i="42"/>
  <c r="E113" i="42"/>
  <c r="J110" i="43"/>
  <c r="J120" i="9"/>
  <c r="J113" i="31"/>
  <c r="J118" i="5"/>
  <c r="J118" i="3"/>
  <c r="G114" i="28"/>
  <c r="D115" i="28"/>
  <c r="E115" i="28"/>
  <c r="J120" i="11"/>
  <c r="G114" i="29"/>
  <c r="D115" i="29"/>
  <c r="E115" i="29"/>
  <c r="J110" i="37"/>
  <c r="G119" i="4"/>
  <c r="D120" i="4"/>
  <c r="E120" i="4"/>
  <c r="G122" i="10"/>
  <c r="D123" i="10"/>
  <c r="E123" i="10"/>
  <c r="J117" i="22"/>
  <c r="G119" i="3"/>
  <c r="D120" i="3"/>
  <c r="E120" i="3"/>
  <c r="G111" i="37"/>
  <c r="D112" i="37"/>
  <c r="E112" i="37"/>
  <c r="G121" i="11"/>
  <c r="D122" i="11"/>
  <c r="E122" i="11"/>
  <c r="G117" i="23"/>
  <c r="D118" i="23"/>
  <c r="E118" i="23"/>
  <c r="G111" i="39"/>
  <c r="D112" i="39"/>
  <c r="E112" i="39"/>
  <c r="G118" i="22"/>
  <c r="D119" i="22"/>
  <c r="E119" i="22"/>
  <c r="G114" i="31"/>
  <c r="D115" i="31"/>
  <c r="E115" i="31"/>
  <c r="G119" i="5"/>
  <c r="D120" i="5"/>
  <c r="E120" i="5"/>
  <c r="G116" i="24"/>
  <c r="D117" i="24"/>
  <c r="E117" i="24"/>
  <c r="G118" i="25"/>
  <c r="D119" i="25"/>
  <c r="E119" i="25"/>
  <c r="J110" i="39"/>
  <c r="J121" i="7"/>
  <c r="G115" i="27"/>
  <c r="D116" i="27"/>
  <c r="E116" i="27"/>
  <c r="G113" i="30"/>
  <c r="D114" i="30"/>
  <c r="E114" i="30"/>
  <c r="J118" i="4"/>
  <c r="J121" i="10"/>
  <c r="G122" i="7"/>
  <c r="D123" i="7"/>
  <c r="E123" i="7"/>
  <c r="G121" i="9"/>
  <c r="D122" i="9"/>
  <c r="E122" i="9"/>
  <c r="J115" i="24"/>
  <c r="J117" i="25"/>
  <c r="J109" i="40"/>
  <c r="J119" i="8"/>
  <c r="J112" i="30"/>
  <c r="J119" i="6"/>
  <c r="G110" i="40"/>
  <c r="D111" i="40"/>
  <c r="E111" i="40"/>
  <c r="J113" i="29"/>
  <c r="G120" i="8"/>
  <c r="D121" i="8"/>
  <c r="E121" i="8"/>
  <c r="J113" i="28"/>
  <c r="G111" i="43"/>
  <c r="D112" i="43"/>
  <c r="E112" i="43"/>
  <c r="G120" i="6"/>
  <c r="D121" i="6"/>
  <c r="E121" i="6"/>
  <c r="J116" i="23"/>
  <c r="F119" i="49" l="1"/>
  <c r="H118" i="49"/>
  <c r="I118" i="49"/>
  <c r="J118" i="49" s="1"/>
  <c r="I118" i="48"/>
  <c r="H118" i="48"/>
  <c r="G112" i="57"/>
  <c r="D113" i="57"/>
  <c r="E113" i="57"/>
  <c r="J117" i="48"/>
  <c r="J112" i="13"/>
  <c r="F119" i="48"/>
  <c r="G114" i="13"/>
  <c r="D115" i="13"/>
  <c r="H113" i="13"/>
  <c r="I113" i="13"/>
  <c r="J113" i="13" s="1"/>
  <c r="E113" i="54"/>
  <c r="F113" i="54" s="1"/>
  <c r="B113" i="54"/>
  <c r="H112" i="54"/>
  <c r="I112" i="54"/>
  <c r="E113" i="55"/>
  <c r="F113" i="55" s="1"/>
  <c r="B113" i="55"/>
  <c r="I112" i="55"/>
  <c r="H112" i="55"/>
  <c r="J111" i="47"/>
  <c r="D113" i="47"/>
  <c r="E113" i="47" s="1"/>
  <c r="G112" i="47"/>
  <c r="B113" i="46"/>
  <c r="F113" i="46"/>
  <c r="I112" i="46"/>
  <c r="H112" i="46"/>
  <c r="E114" i="44"/>
  <c r="D114" i="44"/>
  <c r="B114" i="44" s="1"/>
  <c r="J111" i="45"/>
  <c r="E113" i="45"/>
  <c r="G112" i="45"/>
  <c r="D113" i="45"/>
  <c r="I113" i="44"/>
  <c r="H113" i="44"/>
  <c r="F113" i="42"/>
  <c r="G113" i="42" s="1"/>
  <c r="F113" i="38"/>
  <c r="G113" i="38" s="1"/>
  <c r="H112" i="38"/>
  <c r="I112" i="38"/>
  <c r="H112" i="42"/>
  <c r="I112" i="42"/>
  <c r="I112" i="41"/>
  <c r="H112" i="41"/>
  <c r="E113" i="41"/>
  <c r="F113" i="41" s="1"/>
  <c r="B113" i="41"/>
  <c r="B121" i="6"/>
  <c r="F121" i="6"/>
  <c r="H111" i="43"/>
  <c r="I111" i="43"/>
  <c r="H120" i="8"/>
  <c r="I120" i="8"/>
  <c r="H110" i="40"/>
  <c r="I110" i="40"/>
  <c r="B122" i="9"/>
  <c r="F122" i="9"/>
  <c r="H122" i="7"/>
  <c r="I122" i="7"/>
  <c r="B114" i="30"/>
  <c r="F114" i="30"/>
  <c r="H115" i="27"/>
  <c r="I115" i="27"/>
  <c r="B119" i="25"/>
  <c r="F119" i="25"/>
  <c r="I116" i="24"/>
  <c r="H116" i="24"/>
  <c r="B119" i="22"/>
  <c r="F119" i="22"/>
  <c r="H111" i="39"/>
  <c r="I111" i="39"/>
  <c r="B112" i="37"/>
  <c r="F112" i="37"/>
  <c r="H119" i="3"/>
  <c r="I119" i="3"/>
  <c r="H122" i="10"/>
  <c r="I122" i="10"/>
  <c r="B112" i="43"/>
  <c r="F112" i="43"/>
  <c r="H120" i="6"/>
  <c r="I120" i="6"/>
  <c r="H121" i="9"/>
  <c r="I121" i="9"/>
  <c r="I113" i="30"/>
  <c r="H113" i="30"/>
  <c r="H118" i="25"/>
  <c r="I118" i="25"/>
  <c r="B115" i="31"/>
  <c r="F115" i="31"/>
  <c r="I118" i="22"/>
  <c r="H118" i="22"/>
  <c r="B122" i="11"/>
  <c r="F122" i="11"/>
  <c r="H111" i="37"/>
  <c r="I111" i="37"/>
  <c r="B120" i="5"/>
  <c r="F120" i="5"/>
  <c r="I114" i="31"/>
  <c r="H114" i="31"/>
  <c r="B118" i="23"/>
  <c r="F118" i="23"/>
  <c r="H121" i="11"/>
  <c r="I121" i="11"/>
  <c r="B120" i="4"/>
  <c r="F120" i="4"/>
  <c r="B115" i="29"/>
  <c r="F115" i="29"/>
  <c r="B115" i="28"/>
  <c r="F115" i="28"/>
  <c r="B121" i="8"/>
  <c r="F121" i="8"/>
  <c r="B111" i="40"/>
  <c r="F111" i="40"/>
  <c r="B123" i="7"/>
  <c r="F123" i="7"/>
  <c r="B116" i="27"/>
  <c r="F116" i="27"/>
  <c r="B117" i="24"/>
  <c r="F117" i="24"/>
  <c r="I119" i="5"/>
  <c r="H119" i="5"/>
  <c r="B112" i="39"/>
  <c r="F112" i="39"/>
  <c r="H117" i="23"/>
  <c r="I117" i="23"/>
  <c r="B120" i="3"/>
  <c r="F120" i="3"/>
  <c r="B123" i="10"/>
  <c r="F123" i="10"/>
  <c r="H119" i="4"/>
  <c r="I119" i="4"/>
  <c r="I114" i="29"/>
  <c r="H114" i="29"/>
  <c r="H114" i="28"/>
  <c r="I114" i="28"/>
  <c r="J118" i="48" l="1"/>
  <c r="B113" i="57"/>
  <c r="F113" i="57"/>
  <c r="I112" i="57"/>
  <c r="H112" i="57"/>
  <c r="D120" i="48"/>
  <c r="B120" i="48" s="1"/>
  <c r="G119" i="48"/>
  <c r="E120" i="48"/>
  <c r="F120" i="48" s="1"/>
  <c r="G119" i="49"/>
  <c r="D120" i="49"/>
  <c r="B120" i="49" s="1"/>
  <c r="E120" i="49"/>
  <c r="F120" i="49" s="1"/>
  <c r="B115" i="13"/>
  <c r="E115" i="13"/>
  <c r="F115" i="13" s="1"/>
  <c r="I114" i="13"/>
  <c r="H114" i="13"/>
  <c r="J112" i="54"/>
  <c r="J112" i="55"/>
  <c r="G113" i="54"/>
  <c r="D114" i="54"/>
  <c r="D114" i="55"/>
  <c r="B114" i="55" s="1"/>
  <c r="G113" i="55"/>
  <c r="J112" i="46"/>
  <c r="I112" i="47"/>
  <c r="H112" i="47"/>
  <c r="G113" i="46"/>
  <c r="E114" i="46"/>
  <c r="D114" i="46"/>
  <c r="B113" i="47"/>
  <c r="F113" i="47"/>
  <c r="F114" i="44"/>
  <c r="E115" i="44" s="1"/>
  <c r="B113" i="45"/>
  <c r="F113" i="45"/>
  <c r="I112" i="45"/>
  <c r="H112" i="45"/>
  <c r="D114" i="42"/>
  <c r="B114" i="42" s="1"/>
  <c r="D114" i="38"/>
  <c r="B114" i="38" s="1"/>
  <c r="J113" i="44"/>
  <c r="J112" i="42"/>
  <c r="J112" i="38"/>
  <c r="G113" i="41"/>
  <c r="D114" i="41"/>
  <c r="H113" i="42"/>
  <c r="I113" i="42"/>
  <c r="E114" i="42"/>
  <c r="E114" i="38"/>
  <c r="J112" i="41"/>
  <c r="I113" i="38"/>
  <c r="H113" i="38"/>
  <c r="J121" i="11"/>
  <c r="J111" i="37"/>
  <c r="J118" i="25"/>
  <c r="J119" i="3"/>
  <c r="J111" i="39"/>
  <c r="J115" i="27"/>
  <c r="J122" i="7"/>
  <c r="J110" i="40"/>
  <c r="J111" i="43"/>
  <c r="J120" i="8"/>
  <c r="J114" i="29"/>
  <c r="J119" i="5"/>
  <c r="J113" i="30"/>
  <c r="J114" i="28"/>
  <c r="J119" i="4"/>
  <c r="G120" i="3"/>
  <c r="D121" i="3"/>
  <c r="E121" i="3"/>
  <c r="G112" i="39"/>
  <c r="D113" i="39"/>
  <c r="E113" i="39"/>
  <c r="G117" i="24"/>
  <c r="D118" i="24"/>
  <c r="E118" i="24"/>
  <c r="G123" i="7"/>
  <c r="D124" i="7"/>
  <c r="E124" i="7"/>
  <c r="G121" i="8"/>
  <c r="D122" i="8"/>
  <c r="E122" i="8"/>
  <c r="G115" i="29"/>
  <c r="D116" i="29"/>
  <c r="E116" i="29"/>
  <c r="J121" i="9"/>
  <c r="G112" i="43"/>
  <c r="D113" i="43"/>
  <c r="E113" i="43"/>
  <c r="J114" i="31"/>
  <c r="J118" i="22"/>
  <c r="J116" i="24"/>
  <c r="G123" i="10"/>
  <c r="D124" i="10"/>
  <c r="E124" i="10"/>
  <c r="J117" i="23"/>
  <c r="G116" i="27"/>
  <c r="D117" i="27"/>
  <c r="E117" i="27"/>
  <c r="G111" i="40"/>
  <c r="D112" i="40"/>
  <c r="E112" i="40"/>
  <c r="G115" i="28"/>
  <c r="D116" i="28"/>
  <c r="E116" i="28"/>
  <c r="G120" i="4"/>
  <c r="D121" i="4"/>
  <c r="E121" i="4"/>
  <c r="G118" i="23"/>
  <c r="D119" i="23"/>
  <c r="E119" i="23"/>
  <c r="G120" i="5"/>
  <c r="D121" i="5"/>
  <c r="E121" i="5"/>
  <c r="G122" i="11"/>
  <c r="D123" i="11"/>
  <c r="E123" i="11"/>
  <c r="G115" i="31"/>
  <c r="D116" i="31"/>
  <c r="E116" i="31"/>
  <c r="J120" i="6"/>
  <c r="J122" i="10"/>
  <c r="G112" i="37"/>
  <c r="D113" i="37"/>
  <c r="E113" i="37"/>
  <c r="G119" i="22"/>
  <c r="D120" i="22"/>
  <c r="E120" i="22"/>
  <c r="G119" i="25"/>
  <c r="D120" i="25"/>
  <c r="E120" i="25"/>
  <c r="G114" i="30"/>
  <c r="D115" i="30"/>
  <c r="E115" i="30"/>
  <c r="G122" i="9"/>
  <c r="D123" i="9"/>
  <c r="E123" i="9"/>
  <c r="G121" i="6"/>
  <c r="D122" i="6"/>
  <c r="E122" i="6"/>
  <c r="D121" i="48" l="1"/>
  <c r="B121" i="48" s="1"/>
  <c r="G120" i="48"/>
  <c r="E121" i="48"/>
  <c r="F121" i="48" s="1"/>
  <c r="H119" i="48"/>
  <c r="I119" i="48"/>
  <c r="J119" i="48" s="1"/>
  <c r="G120" i="49"/>
  <c r="D121" i="49"/>
  <c r="B121" i="49" s="1"/>
  <c r="E121" i="49"/>
  <c r="F121" i="49" s="1"/>
  <c r="D114" i="57"/>
  <c r="G113" i="57"/>
  <c r="E114" i="57"/>
  <c r="J112" i="57"/>
  <c r="H119" i="49"/>
  <c r="I119" i="49"/>
  <c r="J119" i="49" s="1"/>
  <c r="J114" i="13"/>
  <c r="D116" i="13"/>
  <c r="B116" i="13" s="1"/>
  <c r="G115" i="13"/>
  <c r="E114" i="55"/>
  <c r="F114" i="55"/>
  <c r="D115" i="55" s="1"/>
  <c r="H113" i="55"/>
  <c r="I113" i="55"/>
  <c r="E114" i="54"/>
  <c r="F114" i="54" s="1"/>
  <c r="B114" i="54"/>
  <c r="H113" i="54"/>
  <c r="I113" i="54"/>
  <c r="B114" i="46"/>
  <c r="F114" i="46"/>
  <c r="J112" i="47"/>
  <c r="D114" i="47"/>
  <c r="E114" i="47" s="1"/>
  <c r="G113" i="47"/>
  <c r="I113" i="46"/>
  <c r="H113" i="46"/>
  <c r="G114" i="44"/>
  <c r="H114" i="44" s="1"/>
  <c r="D115" i="44"/>
  <c r="B115" i="44" s="1"/>
  <c r="F114" i="42"/>
  <c r="E115" i="42" s="1"/>
  <c r="D114" i="45"/>
  <c r="G113" i="45"/>
  <c r="E114" i="45"/>
  <c r="J112" i="45"/>
  <c r="F114" i="38"/>
  <c r="G114" i="38" s="1"/>
  <c r="J113" i="38"/>
  <c r="J113" i="42"/>
  <c r="E114" i="41"/>
  <c r="F114" i="41" s="1"/>
  <c r="B114" i="41"/>
  <c r="H113" i="41"/>
  <c r="I113" i="41"/>
  <c r="B115" i="30"/>
  <c r="F115" i="30"/>
  <c r="I119" i="25"/>
  <c r="H119" i="25"/>
  <c r="B121" i="5"/>
  <c r="F121" i="5"/>
  <c r="H118" i="23"/>
  <c r="I118" i="23"/>
  <c r="B112" i="40"/>
  <c r="F112" i="40"/>
  <c r="H116" i="27"/>
  <c r="I116" i="27"/>
  <c r="H123" i="10"/>
  <c r="I123" i="10"/>
  <c r="B122" i="8"/>
  <c r="F122" i="8"/>
  <c r="H123" i="7"/>
  <c r="I123" i="7"/>
  <c r="B121" i="3"/>
  <c r="F121" i="3"/>
  <c r="B123" i="9"/>
  <c r="F123" i="9"/>
  <c r="H114" i="30"/>
  <c r="I114" i="30"/>
  <c r="B113" i="37"/>
  <c r="F113" i="37"/>
  <c r="B123" i="11"/>
  <c r="F123" i="11"/>
  <c r="I120" i="5"/>
  <c r="H120" i="5"/>
  <c r="B116" i="28"/>
  <c r="F116" i="28"/>
  <c r="H111" i="40"/>
  <c r="I111" i="40"/>
  <c r="B113" i="43"/>
  <c r="F113" i="43"/>
  <c r="B116" i="29"/>
  <c r="F116" i="29"/>
  <c r="H121" i="8"/>
  <c r="I121" i="8"/>
  <c r="B113" i="39"/>
  <c r="F113" i="39"/>
  <c r="H120" i="3"/>
  <c r="I120" i="3"/>
  <c r="B120" i="22"/>
  <c r="F120" i="22"/>
  <c r="H112" i="37"/>
  <c r="I112" i="37"/>
  <c r="B116" i="31"/>
  <c r="F116" i="31"/>
  <c r="H122" i="11"/>
  <c r="I122" i="11"/>
  <c r="B121" i="4"/>
  <c r="F121" i="4"/>
  <c r="H115" i="28"/>
  <c r="I115" i="28"/>
  <c r="I112" i="43"/>
  <c r="H112" i="43"/>
  <c r="I115" i="29"/>
  <c r="H115" i="29"/>
  <c r="B118" i="24"/>
  <c r="F118" i="24"/>
  <c r="H112" i="39"/>
  <c r="I112" i="39"/>
  <c r="B122" i="6"/>
  <c r="F122" i="6"/>
  <c r="I122" i="9"/>
  <c r="H122" i="9"/>
  <c r="H121" i="6"/>
  <c r="I121" i="6"/>
  <c r="B120" i="25"/>
  <c r="F120" i="25"/>
  <c r="H119" i="22"/>
  <c r="I119" i="22"/>
  <c r="H115" i="31"/>
  <c r="I115" i="31"/>
  <c r="B119" i="23"/>
  <c r="F119" i="23"/>
  <c r="H120" i="4"/>
  <c r="I120" i="4"/>
  <c r="B117" i="27"/>
  <c r="F117" i="27"/>
  <c r="B124" i="10"/>
  <c r="F124" i="10"/>
  <c r="B124" i="7"/>
  <c r="F124" i="7"/>
  <c r="H117" i="24"/>
  <c r="I117" i="24"/>
  <c r="D122" i="49" l="1"/>
  <c r="B122" i="49" s="1"/>
  <c r="G121" i="49"/>
  <c r="E122" i="49"/>
  <c r="F122" i="49" s="1"/>
  <c r="D122" i="48"/>
  <c r="B122" i="48" s="1"/>
  <c r="G121" i="48"/>
  <c r="E122" i="48"/>
  <c r="F122" i="48" s="1"/>
  <c r="H113" i="57"/>
  <c r="I113" i="57"/>
  <c r="I120" i="48"/>
  <c r="J120" i="48" s="1"/>
  <c r="H120" i="48"/>
  <c r="H120" i="49"/>
  <c r="I120" i="49"/>
  <c r="J120" i="49" s="1"/>
  <c r="B114" i="57"/>
  <c r="F114" i="57"/>
  <c r="H115" i="13"/>
  <c r="I115" i="13"/>
  <c r="J115" i="13" s="1"/>
  <c r="E116" i="13"/>
  <c r="F116" i="13" s="1"/>
  <c r="G114" i="55"/>
  <c r="I114" i="55" s="1"/>
  <c r="J113" i="55"/>
  <c r="D115" i="54"/>
  <c r="G114" i="54"/>
  <c r="J113" i="54"/>
  <c r="E115" i="55"/>
  <c r="F115" i="55" s="1"/>
  <c r="B115" i="55"/>
  <c r="J113" i="46"/>
  <c r="B114" i="47"/>
  <c r="F114" i="47"/>
  <c r="D115" i="46"/>
  <c r="B115" i="46" s="1"/>
  <c r="G114" i="46"/>
  <c r="E115" i="46"/>
  <c r="H113" i="47"/>
  <c r="I113" i="47"/>
  <c r="D115" i="38"/>
  <c r="B115" i="38" s="1"/>
  <c r="I114" i="44"/>
  <c r="J114" i="44" s="1"/>
  <c r="G114" i="42"/>
  <c r="H114" i="42" s="1"/>
  <c r="F115" i="44"/>
  <c r="D116" i="44" s="1"/>
  <c r="B116" i="44" s="1"/>
  <c r="D115" i="42"/>
  <c r="B115" i="42" s="1"/>
  <c r="H113" i="45"/>
  <c r="I113" i="45"/>
  <c r="B114" i="45"/>
  <c r="F114" i="45"/>
  <c r="J113" i="41"/>
  <c r="G114" i="41"/>
  <c r="D115" i="41"/>
  <c r="I114" i="38"/>
  <c r="H114" i="38"/>
  <c r="E115" i="38"/>
  <c r="J112" i="43"/>
  <c r="J120" i="5"/>
  <c r="J116" i="27"/>
  <c r="J117" i="24"/>
  <c r="J120" i="4"/>
  <c r="J119" i="25"/>
  <c r="J122" i="9"/>
  <c r="J115" i="29"/>
  <c r="G124" i="10"/>
  <c r="D125" i="10"/>
  <c r="E125" i="10"/>
  <c r="J115" i="31"/>
  <c r="G120" i="25"/>
  <c r="D121" i="25"/>
  <c r="E121" i="25"/>
  <c r="J112" i="39"/>
  <c r="J115" i="28"/>
  <c r="J122" i="11"/>
  <c r="J112" i="37"/>
  <c r="J120" i="3"/>
  <c r="J121" i="8"/>
  <c r="G113" i="43"/>
  <c r="D114" i="43"/>
  <c r="E114" i="43"/>
  <c r="G116" i="28"/>
  <c r="D117" i="28"/>
  <c r="E117" i="28"/>
  <c r="G123" i="11"/>
  <c r="D124" i="11"/>
  <c r="E124" i="11"/>
  <c r="J114" i="30"/>
  <c r="G121" i="3"/>
  <c r="D122" i="3"/>
  <c r="E122" i="3"/>
  <c r="G122" i="8"/>
  <c r="D123" i="8"/>
  <c r="E123" i="8"/>
  <c r="J118" i="23"/>
  <c r="G124" i="7"/>
  <c r="D125" i="7"/>
  <c r="E125" i="7"/>
  <c r="G117" i="27"/>
  <c r="D118" i="27"/>
  <c r="E118" i="27"/>
  <c r="G119" i="23"/>
  <c r="D120" i="23"/>
  <c r="E120" i="23"/>
  <c r="J119" i="22"/>
  <c r="J121" i="6"/>
  <c r="G122" i="6"/>
  <c r="D123" i="6"/>
  <c r="E123" i="6"/>
  <c r="G118" i="24"/>
  <c r="D119" i="24"/>
  <c r="E119" i="24"/>
  <c r="G121" i="4"/>
  <c r="D122" i="4"/>
  <c r="E122" i="4"/>
  <c r="G116" i="31"/>
  <c r="D117" i="31"/>
  <c r="E117" i="31"/>
  <c r="G120" i="22"/>
  <c r="D121" i="22"/>
  <c r="E121" i="22"/>
  <c r="G113" i="39"/>
  <c r="D114" i="39"/>
  <c r="E114" i="39"/>
  <c r="G116" i="29"/>
  <c r="D117" i="29"/>
  <c r="E117" i="29"/>
  <c r="J111" i="40"/>
  <c r="G113" i="37"/>
  <c r="D114" i="37"/>
  <c r="E114" i="37"/>
  <c r="G123" i="9"/>
  <c r="D124" i="9"/>
  <c r="E124" i="9"/>
  <c r="J123" i="7"/>
  <c r="J123" i="10"/>
  <c r="G112" i="40"/>
  <c r="D113" i="40"/>
  <c r="E113" i="40"/>
  <c r="G121" i="5"/>
  <c r="D122" i="5"/>
  <c r="E122" i="5"/>
  <c r="G115" i="30"/>
  <c r="D116" i="30"/>
  <c r="E116" i="30"/>
  <c r="J113" i="57" l="1"/>
  <c r="G122" i="48"/>
  <c r="D123" i="48"/>
  <c r="B123" i="48" s="1"/>
  <c r="E123" i="48"/>
  <c r="G122" i="49"/>
  <c r="D123" i="49"/>
  <c r="B123" i="49" s="1"/>
  <c r="E123" i="49"/>
  <c r="F123" i="49" s="1"/>
  <c r="D115" i="57"/>
  <c r="E115" i="57"/>
  <c r="G114" i="57"/>
  <c r="H121" i="48"/>
  <c r="I121" i="48"/>
  <c r="H121" i="49"/>
  <c r="I121" i="49"/>
  <c r="J121" i="49" s="1"/>
  <c r="G116" i="13"/>
  <c r="D117" i="13"/>
  <c r="B117" i="13" s="1"/>
  <c r="H114" i="55"/>
  <c r="J114" i="55" s="1"/>
  <c r="D116" i="55"/>
  <c r="G115" i="55"/>
  <c r="F115" i="38"/>
  <c r="D116" i="38" s="1"/>
  <c r="I114" i="54"/>
  <c r="H114" i="54"/>
  <c r="E115" i="54"/>
  <c r="F115" i="54" s="1"/>
  <c r="B115" i="54"/>
  <c r="J113" i="47"/>
  <c r="I114" i="42"/>
  <c r="J114" i="42" s="1"/>
  <c r="D115" i="47"/>
  <c r="E115" i="47" s="1"/>
  <c r="G114" i="47"/>
  <c r="F115" i="46"/>
  <c r="H114" i="46"/>
  <c r="I114" i="46"/>
  <c r="F115" i="42"/>
  <c r="D116" i="42" s="1"/>
  <c r="B116" i="42" s="1"/>
  <c r="E116" i="44"/>
  <c r="F116" i="44" s="1"/>
  <c r="G116" i="44" s="1"/>
  <c r="G115" i="44"/>
  <c r="J113" i="45"/>
  <c r="G114" i="45"/>
  <c r="E115" i="45"/>
  <c r="D115" i="45"/>
  <c r="J114" i="38"/>
  <c r="E115" i="41"/>
  <c r="F115" i="41" s="1"/>
  <c r="B115" i="41"/>
  <c r="I114" i="41"/>
  <c r="H114" i="41"/>
  <c r="B116" i="30"/>
  <c r="F116" i="30"/>
  <c r="B122" i="5"/>
  <c r="F122" i="5"/>
  <c r="H112" i="40"/>
  <c r="I112" i="40"/>
  <c r="B124" i="9"/>
  <c r="F124" i="9"/>
  <c r="H113" i="37"/>
  <c r="I113" i="37"/>
  <c r="H116" i="29"/>
  <c r="I116" i="29"/>
  <c r="B117" i="31"/>
  <c r="F117" i="31"/>
  <c r="H121" i="4"/>
  <c r="I121" i="4"/>
  <c r="B125" i="7"/>
  <c r="F125" i="7"/>
  <c r="B123" i="8"/>
  <c r="F123" i="8"/>
  <c r="H121" i="3"/>
  <c r="I121" i="3"/>
  <c r="H123" i="11"/>
  <c r="I123" i="11"/>
  <c r="H121" i="5"/>
  <c r="I121" i="5"/>
  <c r="I123" i="9"/>
  <c r="H123" i="9"/>
  <c r="B121" i="22"/>
  <c r="F121" i="22"/>
  <c r="H116" i="31"/>
  <c r="I116" i="31"/>
  <c r="B123" i="6"/>
  <c r="F123" i="6"/>
  <c r="B118" i="27"/>
  <c r="F118" i="27"/>
  <c r="H124" i="7"/>
  <c r="I124" i="7"/>
  <c r="H122" i="8"/>
  <c r="I122" i="8"/>
  <c r="B114" i="43"/>
  <c r="F114" i="43"/>
  <c r="H115" i="30"/>
  <c r="I115" i="30"/>
  <c r="B114" i="39"/>
  <c r="F114" i="39"/>
  <c r="H120" i="22"/>
  <c r="I120" i="22"/>
  <c r="B119" i="24"/>
  <c r="F119" i="24"/>
  <c r="H122" i="6"/>
  <c r="I122" i="6"/>
  <c r="B120" i="23"/>
  <c r="F120" i="23"/>
  <c r="H117" i="27"/>
  <c r="I117" i="27"/>
  <c r="B117" i="28"/>
  <c r="F117" i="28"/>
  <c r="I113" i="43"/>
  <c r="H113" i="43"/>
  <c r="B121" i="25"/>
  <c r="F121" i="25"/>
  <c r="B125" i="10"/>
  <c r="F125" i="10"/>
  <c r="B113" i="40"/>
  <c r="F113" i="40"/>
  <c r="B114" i="37"/>
  <c r="F114" i="37"/>
  <c r="B117" i="29"/>
  <c r="F117" i="29"/>
  <c r="H113" i="39"/>
  <c r="I113" i="39"/>
  <c r="B122" i="4"/>
  <c r="F122" i="4"/>
  <c r="I118" i="24"/>
  <c r="H118" i="24"/>
  <c r="H119" i="23"/>
  <c r="I119" i="23"/>
  <c r="B122" i="3"/>
  <c r="F122" i="3"/>
  <c r="B124" i="11"/>
  <c r="F124" i="11"/>
  <c r="I116" i="28"/>
  <c r="H116" i="28"/>
  <c r="H120" i="25"/>
  <c r="I120" i="25"/>
  <c r="I124" i="10"/>
  <c r="H124" i="10"/>
  <c r="J121" i="48" l="1"/>
  <c r="F123" i="48"/>
  <c r="F115" i="57"/>
  <c r="B115" i="57"/>
  <c r="H122" i="49"/>
  <c r="I122" i="49"/>
  <c r="J122" i="49" s="1"/>
  <c r="H114" i="57"/>
  <c r="I114" i="57"/>
  <c r="J114" i="57" s="1"/>
  <c r="I122" i="48"/>
  <c r="H122" i="48"/>
  <c r="D124" i="49"/>
  <c r="B124" i="49" s="1"/>
  <c r="G123" i="49"/>
  <c r="E124" i="49"/>
  <c r="F124" i="49" s="1"/>
  <c r="E117" i="13"/>
  <c r="F117" i="13" s="1"/>
  <c r="I116" i="13"/>
  <c r="H116" i="13"/>
  <c r="G115" i="38"/>
  <c r="I115" i="38" s="1"/>
  <c r="J114" i="54"/>
  <c r="D116" i="54"/>
  <c r="G115" i="54"/>
  <c r="I115" i="55"/>
  <c r="H115" i="55"/>
  <c r="E116" i="55"/>
  <c r="F116" i="55" s="1"/>
  <c r="B116" i="55"/>
  <c r="G115" i="46"/>
  <c r="E116" i="46"/>
  <c r="D116" i="46"/>
  <c r="J114" i="46"/>
  <c r="I114" i="47"/>
  <c r="H114" i="47"/>
  <c r="F115" i="47"/>
  <c r="B115" i="47"/>
  <c r="D117" i="44"/>
  <c r="B117" i="44" s="1"/>
  <c r="G115" i="42"/>
  <c r="H115" i="42" s="1"/>
  <c r="E116" i="42"/>
  <c r="F116" i="42" s="1"/>
  <c r="I115" i="44"/>
  <c r="H115" i="44"/>
  <c r="B115" i="45"/>
  <c r="F115" i="45"/>
  <c r="I114" i="45"/>
  <c r="H114" i="45"/>
  <c r="H116" i="44"/>
  <c r="I116" i="44"/>
  <c r="E117" i="44"/>
  <c r="F117" i="44" s="1"/>
  <c r="D116" i="41"/>
  <c r="B116" i="41" s="1"/>
  <c r="G115" i="41"/>
  <c r="E116" i="41"/>
  <c r="J114" i="41"/>
  <c r="E116" i="38"/>
  <c r="F116" i="38" s="1"/>
  <c r="B116" i="38"/>
  <c r="J123" i="9"/>
  <c r="J124" i="10"/>
  <c r="J116" i="28"/>
  <c r="J118" i="24"/>
  <c r="J113" i="43"/>
  <c r="G122" i="3"/>
  <c r="D123" i="3"/>
  <c r="E123" i="3"/>
  <c r="J113" i="39"/>
  <c r="G114" i="37"/>
  <c r="D115" i="37"/>
  <c r="E115" i="37"/>
  <c r="G125" i="10"/>
  <c r="D126" i="10"/>
  <c r="E126" i="10"/>
  <c r="J117" i="27"/>
  <c r="J122" i="6"/>
  <c r="J120" i="22"/>
  <c r="J115" i="30"/>
  <c r="J122" i="8"/>
  <c r="G118" i="27"/>
  <c r="D119" i="27"/>
  <c r="E119" i="27"/>
  <c r="J116" i="31"/>
  <c r="J123" i="11"/>
  <c r="G123" i="8"/>
  <c r="D124" i="8"/>
  <c r="E124" i="8"/>
  <c r="J121" i="4"/>
  <c r="J116" i="29"/>
  <c r="G124" i="9"/>
  <c r="D125" i="9"/>
  <c r="E125" i="9"/>
  <c r="G122" i="5"/>
  <c r="D123" i="5"/>
  <c r="E123" i="5"/>
  <c r="J120" i="25"/>
  <c r="G124" i="11"/>
  <c r="D125" i="11"/>
  <c r="E125" i="11"/>
  <c r="J119" i="23"/>
  <c r="G122" i="4"/>
  <c r="D123" i="4"/>
  <c r="E123" i="4"/>
  <c r="G117" i="29"/>
  <c r="D118" i="29"/>
  <c r="E118" i="29"/>
  <c r="G113" i="40"/>
  <c r="D114" i="40"/>
  <c r="E114" i="40"/>
  <c r="G121" i="25"/>
  <c r="D122" i="25"/>
  <c r="E122" i="25"/>
  <c r="G117" i="28"/>
  <c r="D118" i="28"/>
  <c r="E118" i="28"/>
  <c r="G120" i="23"/>
  <c r="D121" i="23"/>
  <c r="E121" i="23"/>
  <c r="G119" i="24"/>
  <c r="D120" i="24"/>
  <c r="E120" i="24"/>
  <c r="G114" i="39"/>
  <c r="D115" i="39"/>
  <c r="E115" i="39"/>
  <c r="G114" i="43"/>
  <c r="D115" i="43"/>
  <c r="E115" i="43"/>
  <c r="J124" i="7"/>
  <c r="G123" i="6"/>
  <c r="D124" i="6"/>
  <c r="E124" i="6"/>
  <c r="G121" i="22"/>
  <c r="D122" i="22"/>
  <c r="E122" i="22"/>
  <c r="J121" i="5"/>
  <c r="J121" i="3"/>
  <c r="G125" i="7"/>
  <c r="D126" i="7"/>
  <c r="E126" i="7"/>
  <c r="G117" i="31"/>
  <c r="D118" i="31"/>
  <c r="E118" i="31"/>
  <c r="J113" i="37"/>
  <c r="J112" i="40"/>
  <c r="G116" i="30"/>
  <c r="D117" i="30"/>
  <c r="E117" i="30"/>
  <c r="D125" i="49" l="1"/>
  <c r="B125" i="49" s="1"/>
  <c r="G124" i="49"/>
  <c r="E125" i="49"/>
  <c r="F125" i="49" s="1"/>
  <c r="H123" i="49"/>
  <c r="I123" i="49"/>
  <c r="J123" i="49" s="1"/>
  <c r="G115" i="57"/>
  <c r="D116" i="57"/>
  <c r="E116" i="57"/>
  <c r="G123" i="48"/>
  <c r="D124" i="48"/>
  <c r="J122" i="48"/>
  <c r="J116" i="13"/>
  <c r="G117" i="13"/>
  <c r="D118" i="13"/>
  <c r="B118" i="13" s="1"/>
  <c r="H115" i="38"/>
  <c r="J115" i="38" s="1"/>
  <c r="G116" i="55"/>
  <c r="D117" i="55"/>
  <c r="J115" i="55"/>
  <c r="I115" i="54"/>
  <c r="H115" i="54"/>
  <c r="E116" i="54"/>
  <c r="F116" i="54" s="1"/>
  <c r="B116" i="54"/>
  <c r="G115" i="47"/>
  <c r="D116" i="47"/>
  <c r="E116" i="47" s="1"/>
  <c r="F116" i="46"/>
  <c r="B116" i="46"/>
  <c r="J114" i="47"/>
  <c r="H115" i="46"/>
  <c r="I115" i="46"/>
  <c r="I115" i="42"/>
  <c r="J115" i="42" s="1"/>
  <c r="J115" i="44"/>
  <c r="J116" i="44"/>
  <c r="G115" i="45"/>
  <c r="D116" i="45"/>
  <c r="E116" i="45"/>
  <c r="J114" i="45"/>
  <c r="G117" i="44"/>
  <c r="D118" i="44"/>
  <c r="B118" i="44" s="1"/>
  <c r="E118" i="44"/>
  <c r="F116" i="41"/>
  <c r="G116" i="41" s="1"/>
  <c r="D117" i="38"/>
  <c r="G116" i="38"/>
  <c r="I115" i="41"/>
  <c r="H115" i="41"/>
  <c r="G116" i="42"/>
  <c r="D117" i="42"/>
  <c r="B126" i="7"/>
  <c r="F126" i="7"/>
  <c r="B115" i="43"/>
  <c r="F115" i="43"/>
  <c r="H116" i="30"/>
  <c r="I116" i="30"/>
  <c r="B122" i="22"/>
  <c r="F122" i="22"/>
  <c r="H114" i="43"/>
  <c r="I114" i="43"/>
  <c r="H117" i="31"/>
  <c r="I117" i="31"/>
  <c r="I121" i="22"/>
  <c r="H121" i="22"/>
  <c r="B120" i="24"/>
  <c r="F120" i="24"/>
  <c r="H120" i="23"/>
  <c r="I120" i="23"/>
  <c r="B114" i="40"/>
  <c r="F114" i="40"/>
  <c r="H117" i="29"/>
  <c r="I117" i="29"/>
  <c r="I118" i="27"/>
  <c r="H118" i="27"/>
  <c r="I125" i="10"/>
  <c r="H125" i="10"/>
  <c r="B115" i="39"/>
  <c r="F115" i="39"/>
  <c r="H119" i="24"/>
  <c r="I119" i="24"/>
  <c r="B122" i="25"/>
  <c r="F122" i="25"/>
  <c r="H113" i="40"/>
  <c r="I113" i="40"/>
  <c r="B125" i="9"/>
  <c r="F125" i="9"/>
  <c r="B117" i="30"/>
  <c r="F117" i="30"/>
  <c r="B124" i="6"/>
  <c r="F124" i="6"/>
  <c r="H114" i="39"/>
  <c r="I114" i="39"/>
  <c r="B118" i="28"/>
  <c r="F118" i="28"/>
  <c r="I121" i="25"/>
  <c r="H121" i="25"/>
  <c r="B123" i="4"/>
  <c r="F123" i="4"/>
  <c r="B125" i="11"/>
  <c r="F125" i="11"/>
  <c r="B123" i="5"/>
  <c r="F123" i="5"/>
  <c r="H124" i="9"/>
  <c r="I124" i="9"/>
  <c r="B124" i="8"/>
  <c r="F124" i="8"/>
  <c r="B115" i="37"/>
  <c r="F115" i="37"/>
  <c r="B123" i="3"/>
  <c r="F123" i="3"/>
  <c r="B118" i="31"/>
  <c r="F118" i="31"/>
  <c r="I125" i="7"/>
  <c r="H125" i="7"/>
  <c r="I123" i="6"/>
  <c r="H123" i="6"/>
  <c r="B121" i="23"/>
  <c r="F121" i="23"/>
  <c r="H117" i="28"/>
  <c r="I117" i="28"/>
  <c r="B118" i="29"/>
  <c r="F118" i="29"/>
  <c r="H122" i="4"/>
  <c r="I122" i="4"/>
  <c r="H124" i="11"/>
  <c r="I124" i="11"/>
  <c r="H122" i="5"/>
  <c r="I122" i="5"/>
  <c r="H123" i="8"/>
  <c r="I123" i="8"/>
  <c r="B119" i="27"/>
  <c r="F119" i="27"/>
  <c r="B126" i="10"/>
  <c r="F126" i="10"/>
  <c r="H114" i="37"/>
  <c r="I114" i="37"/>
  <c r="H122" i="3"/>
  <c r="I122" i="3"/>
  <c r="E118" i="13" l="1"/>
  <c r="F118" i="13" s="1"/>
  <c r="I115" i="57"/>
  <c r="H115" i="57"/>
  <c r="G125" i="49"/>
  <c r="D126" i="49"/>
  <c r="B126" i="49" s="1"/>
  <c r="E126" i="49"/>
  <c r="F126" i="49" s="1"/>
  <c r="E124" i="48"/>
  <c r="F124" i="48" s="1"/>
  <c r="B124" i="48"/>
  <c r="H124" i="49"/>
  <c r="I124" i="49"/>
  <c r="J124" i="49" s="1"/>
  <c r="F116" i="57"/>
  <c r="B116" i="57"/>
  <c r="H123" i="48"/>
  <c r="I123" i="48"/>
  <c r="J123" i="48" s="1"/>
  <c r="D119" i="13"/>
  <c r="B119" i="13" s="1"/>
  <c r="G118" i="13"/>
  <c r="I117" i="13"/>
  <c r="H117" i="13"/>
  <c r="J115" i="54"/>
  <c r="D117" i="54"/>
  <c r="G116" i="54"/>
  <c r="E117" i="55"/>
  <c r="F117" i="55" s="1"/>
  <c r="B117" i="55"/>
  <c r="I116" i="55"/>
  <c r="H116" i="55"/>
  <c r="J115" i="46"/>
  <c r="E117" i="46"/>
  <c r="G116" i="46"/>
  <c r="D117" i="46"/>
  <c r="B117" i="46" s="1"/>
  <c r="B116" i="47"/>
  <c r="F116" i="47"/>
  <c r="H115" i="47"/>
  <c r="I115" i="47"/>
  <c r="B116" i="45"/>
  <c r="F116" i="45"/>
  <c r="I115" i="45"/>
  <c r="H115" i="45"/>
  <c r="F118" i="44"/>
  <c r="G118" i="44" s="1"/>
  <c r="D117" i="41"/>
  <c r="B117" i="41" s="1"/>
  <c r="I117" i="44"/>
  <c r="H117" i="44"/>
  <c r="H116" i="42"/>
  <c r="I116" i="42"/>
  <c r="I116" i="41"/>
  <c r="H116" i="41"/>
  <c r="J115" i="41"/>
  <c r="H116" i="38"/>
  <c r="I116" i="38"/>
  <c r="E117" i="42"/>
  <c r="F117" i="42" s="1"/>
  <c r="B117" i="42"/>
  <c r="E117" i="41"/>
  <c r="E117" i="38"/>
  <c r="F117" i="38" s="1"/>
  <c r="B117" i="38"/>
  <c r="J121" i="22"/>
  <c r="J118" i="27"/>
  <c r="J125" i="7"/>
  <c r="J114" i="37"/>
  <c r="J122" i="5"/>
  <c r="J122" i="4"/>
  <c r="J117" i="28"/>
  <c r="J124" i="9"/>
  <c r="J114" i="39"/>
  <c r="J113" i="40"/>
  <c r="J119" i="24"/>
  <c r="J117" i="29"/>
  <c r="J120" i="23"/>
  <c r="J122" i="3"/>
  <c r="G126" i="10"/>
  <c r="D127" i="10"/>
  <c r="E127" i="10"/>
  <c r="J123" i="8"/>
  <c r="J124" i="11"/>
  <c r="G118" i="29"/>
  <c r="D119" i="29"/>
  <c r="E119" i="29"/>
  <c r="G121" i="23"/>
  <c r="D122" i="23"/>
  <c r="E122" i="23"/>
  <c r="G123" i="3"/>
  <c r="D124" i="3"/>
  <c r="E124" i="3"/>
  <c r="G124" i="8"/>
  <c r="D125" i="8"/>
  <c r="E125" i="8"/>
  <c r="G123" i="5"/>
  <c r="D124" i="5"/>
  <c r="E124" i="5"/>
  <c r="G123" i="4"/>
  <c r="D124" i="4"/>
  <c r="E124" i="4"/>
  <c r="G118" i="28"/>
  <c r="D119" i="28"/>
  <c r="E119" i="28"/>
  <c r="G124" i="6"/>
  <c r="D125" i="6"/>
  <c r="E125" i="6"/>
  <c r="G125" i="9"/>
  <c r="D126" i="9"/>
  <c r="E126" i="9"/>
  <c r="G122" i="25"/>
  <c r="D123" i="25"/>
  <c r="E123" i="25"/>
  <c r="G115" i="39"/>
  <c r="D116" i="39"/>
  <c r="E116" i="39"/>
  <c r="G114" i="40"/>
  <c r="D115" i="40"/>
  <c r="E115" i="40"/>
  <c r="G120" i="24"/>
  <c r="D121" i="24"/>
  <c r="E121" i="24"/>
  <c r="J117" i="31"/>
  <c r="G122" i="22"/>
  <c r="D123" i="22"/>
  <c r="E123" i="22"/>
  <c r="G115" i="43"/>
  <c r="D116" i="43"/>
  <c r="E116" i="43"/>
  <c r="G119" i="27"/>
  <c r="D120" i="27"/>
  <c r="E120" i="27"/>
  <c r="G118" i="31"/>
  <c r="D119" i="31"/>
  <c r="E119" i="31"/>
  <c r="G115" i="37"/>
  <c r="D116" i="37"/>
  <c r="E116" i="37"/>
  <c r="G125" i="11"/>
  <c r="D126" i="11"/>
  <c r="E126" i="11"/>
  <c r="G117" i="30"/>
  <c r="D118" i="30"/>
  <c r="E118" i="30"/>
  <c r="J114" i="43"/>
  <c r="J116" i="30"/>
  <c r="G126" i="7"/>
  <c r="D127" i="7"/>
  <c r="E127" i="7"/>
  <c r="J123" i="6"/>
  <c r="J121" i="25"/>
  <c r="J125" i="10"/>
  <c r="G126" i="49" l="1"/>
  <c r="D127" i="49"/>
  <c r="B127" i="49" s="1"/>
  <c r="E127" i="49"/>
  <c r="F127" i="49" s="1"/>
  <c r="I125" i="49"/>
  <c r="J125" i="49" s="1"/>
  <c r="H125" i="49"/>
  <c r="E117" i="57"/>
  <c r="G116" i="57"/>
  <c r="D117" i="57"/>
  <c r="G124" i="48"/>
  <c r="D125" i="48"/>
  <c r="B125" i="48" s="1"/>
  <c r="E125" i="48"/>
  <c r="F125" i="48" s="1"/>
  <c r="J115" i="57"/>
  <c r="E119" i="13"/>
  <c r="F119" i="13" s="1"/>
  <c r="J117" i="13"/>
  <c r="G119" i="13"/>
  <c r="D120" i="13"/>
  <c r="B120" i="13" s="1"/>
  <c r="H118" i="13"/>
  <c r="I118" i="13"/>
  <c r="J118" i="13" s="1"/>
  <c r="D118" i="55"/>
  <c r="G117" i="55"/>
  <c r="J116" i="55"/>
  <c r="I116" i="54"/>
  <c r="H116" i="54"/>
  <c r="E117" i="54"/>
  <c r="F117" i="54" s="1"/>
  <c r="B117" i="54"/>
  <c r="J115" i="47"/>
  <c r="H116" i="46"/>
  <c r="I116" i="46"/>
  <c r="D117" i="47"/>
  <c r="E117" i="47" s="1"/>
  <c r="G116" i="47"/>
  <c r="F117" i="46"/>
  <c r="G116" i="45"/>
  <c r="E117" i="45"/>
  <c r="D117" i="45"/>
  <c r="J115" i="45"/>
  <c r="D119" i="44"/>
  <c r="B119" i="44" s="1"/>
  <c r="J116" i="42"/>
  <c r="F117" i="41"/>
  <c r="D118" i="41" s="1"/>
  <c r="B118" i="41" s="1"/>
  <c r="J116" i="38"/>
  <c r="J117" i="44"/>
  <c r="E119" i="44"/>
  <c r="H118" i="44"/>
  <c r="I118" i="44"/>
  <c r="G117" i="42"/>
  <c r="D118" i="42"/>
  <c r="D118" i="38"/>
  <c r="B118" i="38" s="1"/>
  <c r="G117" i="38"/>
  <c r="E118" i="38"/>
  <c r="J116" i="41"/>
  <c r="B116" i="37"/>
  <c r="F116" i="37"/>
  <c r="H118" i="31"/>
  <c r="I118" i="31"/>
  <c r="B123" i="22"/>
  <c r="F123" i="22"/>
  <c r="B121" i="24"/>
  <c r="F121" i="24"/>
  <c r="H114" i="40"/>
  <c r="I114" i="40"/>
  <c r="B126" i="9"/>
  <c r="F126" i="9"/>
  <c r="H124" i="6"/>
  <c r="I124" i="6"/>
  <c r="B124" i="5"/>
  <c r="F124" i="5"/>
  <c r="I124" i="8"/>
  <c r="H124" i="8"/>
  <c r="B119" i="29"/>
  <c r="F119" i="29"/>
  <c r="B127" i="7"/>
  <c r="F127" i="7"/>
  <c r="B126" i="11"/>
  <c r="F126" i="11"/>
  <c r="I115" i="37"/>
  <c r="H115" i="37"/>
  <c r="B116" i="43"/>
  <c r="F116" i="43"/>
  <c r="I122" i="22"/>
  <c r="H122" i="22"/>
  <c r="H120" i="24"/>
  <c r="I120" i="24"/>
  <c r="B123" i="25"/>
  <c r="F123" i="25"/>
  <c r="H125" i="9"/>
  <c r="I125" i="9"/>
  <c r="B124" i="4"/>
  <c r="F124" i="4"/>
  <c r="H123" i="5"/>
  <c r="I123" i="5"/>
  <c r="B122" i="23"/>
  <c r="F122" i="23"/>
  <c r="H118" i="29"/>
  <c r="I118" i="29"/>
  <c r="B127" i="10"/>
  <c r="F127" i="10"/>
  <c r="B118" i="30"/>
  <c r="F118" i="30"/>
  <c r="H125" i="11"/>
  <c r="I125" i="11"/>
  <c r="B120" i="27"/>
  <c r="F120" i="27"/>
  <c r="H115" i="43"/>
  <c r="I115" i="43"/>
  <c r="B116" i="39"/>
  <c r="F116" i="39"/>
  <c r="H122" i="25"/>
  <c r="I122" i="25"/>
  <c r="B119" i="28"/>
  <c r="F119" i="28"/>
  <c r="I123" i="4"/>
  <c r="H123" i="4"/>
  <c r="B124" i="3"/>
  <c r="F124" i="3"/>
  <c r="I121" i="23"/>
  <c r="H121" i="23"/>
  <c r="H126" i="10"/>
  <c r="I126" i="10"/>
  <c r="I126" i="7"/>
  <c r="H126" i="7"/>
  <c r="H117" i="30"/>
  <c r="I117" i="30"/>
  <c r="B119" i="31"/>
  <c r="F119" i="31"/>
  <c r="I119" i="27"/>
  <c r="H119" i="27"/>
  <c r="B115" i="40"/>
  <c r="F115" i="40"/>
  <c r="H115" i="39"/>
  <c r="I115" i="39"/>
  <c r="B125" i="6"/>
  <c r="F125" i="6"/>
  <c r="H118" i="28"/>
  <c r="I118" i="28"/>
  <c r="B125" i="8"/>
  <c r="F125" i="8"/>
  <c r="H123" i="3"/>
  <c r="I123" i="3"/>
  <c r="D126" i="48" l="1"/>
  <c r="B126" i="48" s="1"/>
  <c r="G125" i="48"/>
  <c r="E126" i="48"/>
  <c r="F126" i="48" s="1"/>
  <c r="D128" i="49"/>
  <c r="B128" i="49" s="1"/>
  <c r="G127" i="49"/>
  <c r="E128" i="49"/>
  <c r="F128" i="49" s="1"/>
  <c r="B117" i="57"/>
  <c r="F117" i="57"/>
  <c r="H116" i="57"/>
  <c r="I116" i="57"/>
  <c r="H124" i="48"/>
  <c r="I124" i="48"/>
  <c r="J124" i="48" s="1"/>
  <c r="I126" i="49"/>
  <c r="H126" i="49"/>
  <c r="H119" i="13"/>
  <c r="I119" i="13"/>
  <c r="J119" i="13" s="1"/>
  <c r="E120" i="13"/>
  <c r="F120" i="13" s="1"/>
  <c r="J116" i="54"/>
  <c r="G117" i="54"/>
  <c r="D118" i="54"/>
  <c r="H117" i="55"/>
  <c r="I117" i="55"/>
  <c r="E118" i="55"/>
  <c r="F118" i="55" s="1"/>
  <c r="B118" i="55"/>
  <c r="J116" i="46"/>
  <c r="H116" i="47"/>
  <c r="I116" i="47"/>
  <c r="B117" i="47"/>
  <c r="F117" i="47"/>
  <c r="E118" i="46"/>
  <c r="G117" i="46"/>
  <c r="D118" i="46"/>
  <c r="B117" i="45"/>
  <c r="F117" i="45"/>
  <c r="H116" i="45"/>
  <c r="I116" i="45"/>
  <c r="G117" i="41"/>
  <c r="H117" i="41" s="1"/>
  <c r="F119" i="44"/>
  <c r="D120" i="44" s="1"/>
  <c r="B120" i="44" s="1"/>
  <c r="E118" i="41"/>
  <c r="F118" i="41" s="1"/>
  <c r="J118" i="44"/>
  <c r="F118" i="38"/>
  <c r="E119" i="38" s="1"/>
  <c r="H117" i="38"/>
  <c r="I117" i="38"/>
  <c r="E118" i="42"/>
  <c r="F118" i="42" s="1"/>
  <c r="B118" i="42"/>
  <c r="H117" i="42"/>
  <c r="I117" i="42"/>
  <c r="J118" i="31"/>
  <c r="J124" i="6"/>
  <c r="J119" i="27"/>
  <c r="J126" i="7"/>
  <c r="J121" i="23"/>
  <c r="J123" i="4"/>
  <c r="J122" i="22"/>
  <c r="J115" i="37"/>
  <c r="J123" i="3"/>
  <c r="J118" i="28"/>
  <c r="J115" i="39"/>
  <c r="J117" i="30"/>
  <c r="J126" i="10"/>
  <c r="G124" i="3"/>
  <c r="D125" i="3"/>
  <c r="E125" i="3"/>
  <c r="G119" i="28"/>
  <c r="D120" i="28"/>
  <c r="E120" i="28"/>
  <c r="G116" i="39"/>
  <c r="D117" i="39"/>
  <c r="E117" i="39"/>
  <c r="G120" i="27"/>
  <c r="D121" i="27"/>
  <c r="E121" i="27"/>
  <c r="G118" i="30"/>
  <c r="D119" i="30"/>
  <c r="E119" i="30"/>
  <c r="J118" i="29"/>
  <c r="J123" i="5"/>
  <c r="J125" i="9"/>
  <c r="J120" i="24"/>
  <c r="G116" i="43"/>
  <c r="D117" i="43"/>
  <c r="E117" i="43"/>
  <c r="G126" i="11"/>
  <c r="D127" i="11"/>
  <c r="E127" i="11"/>
  <c r="G119" i="29"/>
  <c r="D120" i="29"/>
  <c r="E120" i="29"/>
  <c r="G124" i="5"/>
  <c r="D125" i="5"/>
  <c r="E125" i="5"/>
  <c r="G126" i="9"/>
  <c r="D127" i="9"/>
  <c r="E127" i="9"/>
  <c r="G121" i="24"/>
  <c r="D122" i="24"/>
  <c r="E122" i="24"/>
  <c r="G125" i="8"/>
  <c r="D126" i="8"/>
  <c r="E126" i="8" s="1"/>
  <c r="G125" i="6"/>
  <c r="D126" i="6"/>
  <c r="E126" i="6"/>
  <c r="G115" i="40"/>
  <c r="D116" i="40"/>
  <c r="E116" i="40"/>
  <c r="G119" i="31"/>
  <c r="D120" i="31"/>
  <c r="E120" i="31"/>
  <c r="J122" i="25"/>
  <c r="J115" i="43"/>
  <c r="J125" i="11"/>
  <c r="G127" i="10"/>
  <c r="D128" i="10"/>
  <c r="E128" i="10"/>
  <c r="G122" i="23"/>
  <c r="D123" i="23"/>
  <c r="E123" i="23"/>
  <c r="G124" i="4"/>
  <c r="D125" i="4"/>
  <c r="E125" i="4"/>
  <c r="G123" i="25"/>
  <c r="D124" i="25"/>
  <c r="E124" i="25"/>
  <c r="G127" i="7"/>
  <c r="D128" i="7"/>
  <c r="E128" i="7"/>
  <c r="J114" i="40"/>
  <c r="G123" i="22"/>
  <c r="D124" i="22"/>
  <c r="E124" i="22"/>
  <c r="G116" i="37"/>
  <c r="D117" i="37"/>
  <c r="E117" i="37"/>
  <c r="J124" i="8"/>
  <c r="D129" i="49" l="1"/>
  <c r="B129" i="49" s="1"/>
  <c r="G128" i="49"/>
  <c r="E129" i="49"/>
  <c r="F129" i="49" s="1"/>
  <c r="J126" i="49"/>
  <c r="H127" i="49"/>
  <c r="I127" i="49"/>
  <c r="J127" i="49" s="1"/>
  <c r="G126" i="48"/>
  <c r="D127" i="48"/>
  <c r="B127" i="48" s="1"/>
  <c r="E127" i="48"/>
  <c r="D118" i="57"/>
  <c r="E118" i="57"/>
  <c r="G117" i="57"/>
  <c r="J116" i="57"/>
  <c r="I125" i="48"/>
  <c r="H125" i="48"/>
  <c r="G120" i="13"/>
  <c r="D121" i="13"/>
  <c r="B121" i="13" s="1"/>
  <c r="J117" i="55"/>
  <c r="E118" i="54"/>
  <c r="F118" i="54" s="1"/>
  <c r="B118" i="54"/>
  <c r="H117" i="54"/>
  <c r="I117" i="54"/>
  <c r="G118" i="55"/>
  <c r="D119" i="55"/>
  <c r="J116" i="47"/>
  <c r="D118" i="47"/>
  <c r="E118" i="47" s="1"/>
  <c r="G117" i="47"/>
  <c r="F118" i="46"/>
  <c r="B118" i="46"/>
  <c r="I117" i="46"/>
  <c r="H117" i="46"/>
  <c r="I117" i="41"/>
  <c r="J117" i="41" s="1"/>
  <c r="J116" i="45"/>
  <c r="E118" i="45"/>
  <c r="D118" i="45"/>
  <c r="G117" i="45"/>
  <c r="E120" i="44"/>
  <c r="F120" i="44" s="1"/>
  <c r="D121" i="44" s="1"/>
  <c r="B121" i="44" s="1"/>
  <c r="D119" i="38"/>
  <c r="B119" i="38" s="1"/>
  <c r="G119" i="44"/>
  <c r="H119" i="44" s="1"/>
  <c r="G118" i="38"/>
  <c r="H118" i="38" s="1"/>
  <c r="G118" i="42"/>
  <c r="D119" i="42"/>
  <c r="B119" i="42" s="1"/>
  <c r="E119" i="42"/>
  <c r="D119" i="41"/>
  <c r="G118" i="41"/>
  <c r="J117" i="42"/>
  <c r="J117" i="38"/>
  <c r="H116" i="37"/>
  <c r="I116" i="37"/>
  <c r="B124" i="25"/>
  <c r="F124" i="25"/>
  <c r="H124" i="4"/>
  <c r="I124" i="4"/>
  <c r="H119" i="31"/>
  <c r="I119" i="31"/>
  <c r="B126" i="8"/>
  <c r="F126" i="8"/>
  <c r="H121" i="24"/>
  <c r="I121" i="24"/>
  <c r="B120" i="29"/>
  <c r="F120" i="29"/>
  <c r="H126" i="11"/>
  <c r="I126" i="11"/>
  <c r="B121" i="27"/>
  <c r="F121" i="27"/>
  <c r="H116" i="39"/>
  <c r="I116" i="39"/>
  <c r="B128" i="7"/>
  <c r="F128" i="7"/>
  <c r="B128" i="10"/>
  <c r="F128" i="10"/>
  <c r="B126" i="6"/>
  <c r="F126" i="6"/>
  <c r="H125" i="8"/>
  <c r="I125" i="8"/>
  <c r="B125" i="5"/>
  <c r="F125" i="5"/>
  <c r="H119" i="29"/>
  <c r="I119" i="29"/>
  <c r="B119" i="30"/>
  <c r="F119" i="30"/>
  <c r="H120" i="27"/>
  <c r="I120" i="27"/>
  <c r="B125" i="3"/>
  <c r="F125" i="3"/>
  <c r="B124" i="22"/>
  <c r="F124" i="22"/>
  <c r="H123" i="25"/>
  <c r="I123" i="25"/>
  <c r="B117" i="37"/>
  <c r="F117" i="37"/>
  <c r="H123" i="22"/>
  <c r="I123" i="22"/>
  <c r="H127" i="7"/>
  <c r="I127" i="7"/>
  <c r="B123" i="23"/>
  <c r="F123" i="23"/>
  <c r="H127" i="10"/>
  <c r="I127" i="10"/>
  <c r="B116" i="40"/>
  <c r="F116" i="40"/>
  <c r="I125" i="6"/>
  <c r="H125" i="6"/>
  <c r="B127" i="9"/>
  <c r="F127" i="9"/>
  <c r="I124" i="5"/>
  <c r="H124" i="5"/>
  <c r="B117" i="43"/>
  <c r="F117" i="43"/>
  <c r="I118" i="30"/>
  <c r="H118" i="30"/>
  <c r="B120" i="28"/>
  <c r="F120" i="28"/>
  <c r="H124" i="3"/>
  <c r="I124" i="3"/>
  <c r="B125" i="4"/>
  <c r="F125" i="4"/>
  <c r="H122" i="23"/>
  <c r="I122" i="23"/>
  <c r="B120" i="31"/>
  <c r="F120" i="31"/>
  <c r="I115" i="40"/>
  <c r="H115" i="40"/>
  <c r="B122" i="24"/>
  <c r="F122" i="24"/>
  <c r="H126" i="9"/>
  <c r="I126" i="9"/>
  <c r="B127" i="11"/>
  <c r="F127" i="11"/>
  <c r="H116" i="43"/>
  <c r="I116" i="43"/>
  <c r="B117" i="39"/>
  <c r="F117" i="39"/>
  <c r="H119" i="28"/>
  <c r="I119" i="28"/>
  <c r="J125" i="48" l="1"/>
  <c r="I117" i="57"/>
  <c r="H117" i="57"/>
  <c r="G129" i="49"/>
  <c r="D130" i="49"/>
  <c r="I126" i="48"/>
  <c r="H126" i="48"/>
  <c r="E121" i="13"/>
  <c r="F121" i="13" s="1"/>
  <c r="D122" i="13" s="1"/>
  <c r="B122" i="13" s="1"/>
  <c r="B118" i="57"/>
  <c r="F118" i="57"/>
  <c r="H128" i="49"/>
  <c r="I128" i="49"/>
  <c r="J128" i="49" s="1"/>
  <c r="F127" i="48"/>
  <c r="H120" i="13"/>
  <c r="I120" i="13"/>
  <c r="J117" i="54"/>
  <c r="H118" i="55"/>
  <c r="I118" i="55"/>
  <c r="D119" i="54"/>
  <c r="G118" i="54"/>
  <c r="E119" i="55"/>
  <c r="F119" i="55" s="1"/>
  <c r="B119" i="55"/>
  <c r="G118" i="46"/>
  <c r="D119" i="46"/>
  <c r="E119" i="46"/>
  <c r="J117" i="46"/>
  <c r="I117" i="47"/>
  <c r="H117" i="47"/>
  <c r="F118" i="47"/>
  <c r="B118" i="47"/>
  <c r="F119" i="38"/>
  <c r="G119" i="38" s="1"/>
  <c r="H119" i="38" s="1"/>
  <c r="I117" i="45"/>
  <c r="H117" i="45"/>
  <c r="F118" i="45"/>
  <c r="B118" i="45"/>
  <c r="I119" i="44"/>
  <c r="J119" i="44" s="1"/>
  <c r="I118" i="38"/>
  <c r="J118" i="38" s="1"/>
  <c r="E121" i="44"/>
  <c r="F121" i="44" s="1"/>
  <c r="G121" i="44" s="1"/>
  <c r="G120" i="44"/>
  <c r="I120" i="44" s="1"/>
  <c r="F119" i="42"/>
  <c r="G119" i="42" s="1"/>
  <c r="E119" i="41"/>
  <c r="F119" i="41" s="1"/>
  <c r="B119" i="41"/>
  <c r="H118" i="41"/>
  <c r="I118" i="41"/>
  <c r="H118" i="42"/>
  <c r="I118" i="42"/>
  <c r="J119" i="28"/>
  <c r="J120" i="27"/>
  <c r="J115" i="40"/>
  <c r="J118" i="30"/>
  <c r="J124" i="5"/>
  <c r="J125" i="6"/>
  <c r="J124" i="4"/>
  <c r="J116" i="37"/>
  <c r="J116" i="43"/>
  <c r="J126" i="9"/>
  <c r="J122" i="23"/>
  <c r="J124" i="3"/>
  <c r="J127" i="10"/>
  <c r="J127" i="7"/>
  <c r="G117" i="37"/>
  <c r="D118" i="37"/>
  <c r="E118" i="37"/>
  <c r="G124" i="22"/>
  <c r="D125" i="22"/>
  <c r="E125" i="22" s="1"/>
  <c r="J119" i="29"/>
  <c r="J125" i="8"/>
  <c r="G128" i="10"/>
  <c r="D129" i="10"/>
  <c r="E129" i="10" s="1"/>
  <c r="J116" i="39"/>
  <c r="J126" i="11"/>
  <c r="J121" i="24"/>
  <c r="J119" i="31"/>
  <c r="G124" i="25"/>
  <c r="D125" i="25"/>
  <c r="E125" i="25"/>
  <c r="G117" i="39"/>
  <c r="D118" i="39"/>
  <c r="E118" i="39"/>
  <c r="D128" i="11"/>
  <c r="E128" i="11" s="1"/>
  <c r="G127" i="11"/>
  <c r="G122" i="24"/>
  <c r="D123" i="24"/>
  <c r="E123" i="24"/>
  <c r="G120" i="31"/>
  <c r="D121" i="31"/>
  <c r="E121" i="31"/>
  <c r="G125" i="4"/>
  <c r="D126" i="4"/>
  <c r="E126" i="4"/>
  <c r="G120" i="28"/>
  <c r="D121" i="28"/>
  <c r="E121" i="28"/>
  <c r="G117" i="43"/>
  <c r="D118" i="43"/>
  <c r="E118" i="43"/>
  <c r="G127" i="9"/>
  <c r="D128" i="9"/>
  <c r="E128" i="9" s="1"/>
  <c r="G116" i="40"/>
  <c r="D117" i="40"/>
  <c r="E117" i="40"/>
  <c r="G123" i="23"/>
  <c r="D124" i="23"/>
  <c r="E124" i="23"/>
  <c r="J123" i="22"/>
  <c r="J123" i="25"/>
  <c r="G125" i="3"/>
  <c r="D126" i="3"/>
  <c r="E126" i="3"/>
  <c r="G119" i="30"/>
  <c r="D120" i="30"/>
  <c r="E120" i="30"/>
  <c r="G125" i="5"/>
  <c r="D126" i="5"/>
  <c r="E126" i="5" s="1"/>
  <c r="G126" i="6"/>
  <c r="D127" i="6"/>
  <c r="E127" i="6" s="1"/>
  <c r="G128" i="7"/>
  <c r="D129" i="7"/>
  <c r="E129" i="7" s="1"/>
  <c r="G121" i="27"/>
  <c r="D122" i="27"/>
  <c r="E122" i="27"/>
  <c r="G120" i="29"/>
  <c r="D121" i="29"/>
  <c r="E121" i="29"/>
  <c r="G126" i="8"/>
  <c r="D127" i="8"/>
  <c r="E127" i="8" s="1"/>
  <c r="E122" i="13" l="1"/>
  <c r="F122" i="13" s="1"/>
  <c r="G121" i="13"/>
  <c r="J126" i="48"/>
  <c r="G127" i="48"/>
  <c r="D128" i="48"/>
  <c r="B128" i="48" s="1"/>
  <c r="E128" i="48"/>
  <c r="F128" i="48" s="1"/>
  <c r="E130" i="49"/>
  <c r="F130" i="49" s="1"/>
  <c r="B130" i="49"/>
  <c r="H129" i="49"/>
  <c r="I129" i="49"/>
  <c r="J129" i="49" s="1"/>
  <c r="J120" i="13"/>
  <c r="D119" i="57"/>
  <c r="G118" i="57"/>
  <c r="E119" i="57"/>
  <c r="J117" i="57"/>
  <c r="G122" i="13"/>
  <c r="D123" i="13"/>
  <c r="I121" i="13"/>
  <c r="H121" i="13"/>
  <c r="E120" i="38"/>
  <c r="J118" i="55"/>
  <c r="G119" i="55"/>
  <c r="D120" i="55"/>
  <c r="B120" i="55" s="1"/>
  <c r="I118" i="54"/>
  <c r="H118" i="54"/>
  <c r="E119" i="54"/>
  <c r="F119" i="54" s="1"/>
  <c r="B119" i="54"/>
  <c r="I119" i="38"/>
  <c r="J119" i="38" s="1"/>
  <c r="D120" i="38"/>
  <c r="B120" i="38" s="1"/>
  <c r="D119" i="47"/>
  <c r="E119" i="47" s="1"/>
  <c r="G118" i="47"/>
  <c r="F119" i="46"/>
  <c r="B119" i="46"/>
  <c r="J117" i="47"/>
  <c r="H118" i="46"/>
  <c r="I118" i="46"/>
  <c r="G118" i="45"/>
  <c r="D119" i="45"/>
  <c r="B119" i="45" s="1"/>
  <c r="E119" i="45"/>
  <c r="J117" i="45"/>
  <c r="J118" i="41"/>
  <c r="D122" i="44"/>
  <c r="B122" i="44" s="1"/>
  <c r="H120" i="44"/>
  <c r="J120" i="44" s="1"/>
  <c r="D120" i="42"/>
  <c r="B120" i="42" s="1"/>
  <c r="H121" i="44"/>
  <c r="I121" i="44"/>
  <c r="J118" i="42"/>
  <c r="D120" i="41"/>
  <c r="G119" i="41"/>
  <c r="H119" i="42"/>
  <c r="I119" i="42"/>
  <c r="E120" i="42"/>
  <c r="B127" i="8"/>
  <c r="F127" i="8"/>
  <c r="H126" i="8"/>
  <c r="I126" i="8"/>
  <c r="B129" i="7"/>
  <c r="F129" i="7"/>
  <c r="H126" i="6"/>
  <c r="I126" i="6"/>
  <c r="B126" i="3"/>
  <c r="F126" i="3"/>
  <c r="B117" i="40"/>
  <c r="F117" i="40"/>
  <c r="H127" i="9"/>
  <c r="I127" i="9"/>
  <c r="B126" i="4"/>
  <c r="F126" i="4"/>
  <c r="H120" i="31"/>
  <c r="I120" i="31"/>
  <c r="B118" i="39"/>
  <c r="F118" i="39"/>
  <c r="H124" i="25"/>
  <c r="I124" i="25"/>
  <c r="I124" i="22"/>
  <c r="H124" i="22"/>
  <c r="B121" i="29"/>
  <c r="F121" i="29"/>
  <c r="B122" i="27"/>
  <c r="F122" i="27"/>
  <c r="H128" i="7"/>
  <c r="I128" i="7"/>
  <c r="B120" i="30"/>
  <c r="F120" i="30"/>
  <c r="H125" i="3"/>
  <c r="I125" i="3"/>
  <c r="B124" i="23"/>
  <c r="F124" i="23"/>
  <c r="H116" i="40"/>
  <c r="I116" i="40"/>
  <c r="B121" i="28"/>
  <c r="F121" i="28"/>
  <c r="I125" i="4"/>
  <c r="H125" i="4"/>
  <c r="H127" i="11"/>
  <c r="I127" i="11"/>
  <c r="H117" i="39"/>
  <c r="I117" i="39"/>
  <c r="I121" i="27"/>
  <c r="H121" i="27"/>
  <c r="B126" i="5"/>
  <c r="F126" i="5"/>
  <c r="H119" i="30"/>
  <c r="I119" i="30"/>
  <c r="H123" i="23"/>
  <c r="I123" i="23"/>
  <c r="B118" i="43"/>
  <c r="F118" i="43"/>
  <c r="H120" i="28"/>
  <c r="I120" i="28"/>
  <c r="B123" i="24"/>
  <c r="F123" i="24"/>
  <c r="B128" i="11"/>
  <c r="F128" i="11"/>
  <c r="B129" i="10"/>
  <c r="F129" i="10"/>
  <c r="B118" i="37"/>
  <c r="F118" i="37"/>
  <c r="H120" i="29"/>
  <c r="I120" i="29"/>
  <c r="B127" i="6"/>
  <c r="F127" i="6"/>
  <c r="H125" i="5"/>
  <c r="I125" i="5"/>
  <c r="B128" i="9"/>
  <c r="F128" i="9"/>
  <c r="H117" i="43"/>
  <c r="I117" i="43"/>
  <c r="B121" i="31"/>
  <c r="F121" i="31"/>
  <c r="H122" i="24"/>
  <c r="I122" i="24"/>
  <c r="B125" i="25"/>
  <c r="F125" i="25"/>
  <c r="H128" i="10"/>
  <c r="I128" i="10"/>
  <c r="B125" i="22"/>
  <c r="F125" i="22"/>
  <c r="H117" i="37"/>
  <c r="I117" i="37"/>
  <c r="D131" i="49" l="1"/>
  <c r="B131" i="49" s="1"/>
  <c r="G130" i="49"/>
  <c r="E131" i="49"/>
  <c r="F131" i="49" s="1"/>
  <c r="G128" i="48"/>
  <c r="D129" i="48"/>
  <c r="H118" i="57"/>
  <c r="I118" i="57"/>
  <c r="J118" i="57" s="1"/>
  <c r="I127" i="48"/>
  <c r="J127" i="48" s="1"/>
  <c r="H127" i="48"/>
  <c r="B119" i="57"/>
  <c r="F119" i="57"/>
  <c r="J121" i="13"/>
  <c r="E123" i="13"/>
  <c r="F123" i="13"/>
  <c r="B123" i="13"/>
  <c r="H122" i="13"/>
  <c r="I122" i="13"/>
  <c r="E120" i="55"/>
  <c r="F120" i="55" s="1"/>
  <c r="D120" i="54"/>
  <c r="B120" i="54" s="1"/>
  <c r="G119" i="54"/>
  <c r="E120" i="54"/>
  <c r="J118" i="54"/>
  <c r="F120" i="38"/>
  <c r="E121" i="38" s="1"/>
  <c r="I119" i="55"/>
  <c r="H119" i="55"/>
  <c r="J118" i="46"/>
  <c r="G119" i="46"/>
  <c r="E120" i="46"/>
  <c r="D120" i="46"/>
  <c r="H118" i="47"/>
  <c r="I118" i="47"/>
  <c r="B119" i="47"/>
  <c r="F119" i="47"/>
  <c r="F119" i="45"/>
  <c r="G119" i="45" s="1"/>
  <c r="I118" i="45"/>
  <c r="H118" i="45"/>
  <c r="E122" i="44"/>
  <c r="F122" i="44" s="1"/>
  <c r="D123" i="44" s="1"/>
  <c r="B123" i="44" s="1"/>
  <c r="F120" i="42"/>
  <c r="G120" i="42" s="1"/>
  <c r="J121" i="44"/>
  <c r="J119" i="42"/>
  <c r="I119" i="41"/>
  <c r="H119" i="41"/>
  <c r="E120" i="41"/>
  <c r="F120" i="41" s="1"/>
  <c r="B120" i="41"/>
  <c r="J125" i="4"/>
  <c r="J121" i="27"/>
  <c r="J124" i="22"/>
  <c r="J117" i="37"/>
  <c r="J128" i="10"/>
  <c r="J122" i="24"/>
  <c r="J117" i="43"/>
  <c r="J125" i="5"/>
  <c r="J120" i="29"/>
  <c r="G129" i="10"/>
  <c r="D130" i="10"/>
  <c r="E130" i="10" s="1"/>
  <c r="G123" i="24"/>
  <c r="D124" i="24"/>
  <c r="E124" i="24" s="1"/>
  <c r="G118" i="43"/>
  <c r="D119" i="43"/>
  <c r="E119" i="43"/>
  <c r="J119" i="30"/>
  <c r="J127" i="11"/>
  <c r="G121" i="28"/>
  <c r="D122" i="28"/>
  <c r="E122" i="28"/>
  <c r="G124" i="23"/>
  <c r="D125" i="23"/>
  <c r="E125" i="23" s="1"/>
  <c r="G120" i="30"/>
  <c r="D121" i="30"/>
  <c r="E121" i="30"/>
  <c r="G122" i="27"/>
  <c r="D123" i="27"/>
  <c r="E123" i="27" s="1"/>
  <c r="G118" i="39"/>
  <c r="D119" i="39"/>
  <c r="E119" i="39"/>
  <c r="G126" i="4"/>
  <c r="D127" i="4"/>
  <c r="E127" i="4" s="1"/>
  <c r="G117" i="40"/>
  <c r="D118" i="40"/>
  <c r="E118" i="40"/>
  <c r="J126" i="6"/>
  <c r="J126" i="8"/>
  <c r="G125" i="22"/>
  <c r="D126" i="22"/>
  <c r="E126" i="22" s="1"/>
  <c r="G125" i="25"/>
  <c r="D126" i="25"/>
  <c r="E126" i="25"/>
  <c r="G121" i="31"/>
  <c r="D122" i="31"/>
  <c r="E122" i="31"/>
  <c r="G128" i="9"/>
  <c r="D129" i="9"/>
  <c r="E129" i="9" s="1"/>
  <c r="G127" i="6"/>
  <c r="D128" i="6"/>
  <c r="E128" i="6"/>
  <c r="G118" i="37"/>
  <c r="D119" i="37"/>
  <c r="E119" i="37"/>
  <c r="G128" i="11"/>
  <c r="D129" i="11"/>
  <c r="E129" i="11" s="1"/>
  <c r="J120" i="28"/>
  <c r="J123" i="23"/>
  <c r="G126" i="5"/>
  <c r="D127" i="5"/>
  <c r="E127" i="5"/>
  <c r="J117" i="39"/>
  <c r="J116" i="40"/>
  <c r="J125" i="3"/>
  <c r="J128" i="7"/>
  <c r="G121" i="29"/>
  <c r="D122" i="29"/>
  <c r="E122" i="29"/>
  <c r="J124" i="25"/>
  <c r="J120" i="31"/>
  <c r="J127" i="9"/>
  <c r="G126" i="3"/>
  <c r="D127" i="3"/>
  <c r="E127" i="3"/>
  <c r="G129" i="7"/>
  <c r="D130" i="7"/>
  <c r="E130" i="7"/>
  <c r="G127" i="8"/>
  <c r="D128" i="8"/>
  <c r="E128" i="8" s="1"/>
  <c r="E129" i="48" l="1"/>
  <c r="F129" i="48" s="1"/>
  <c r="B129" i="48"/>
  <c r="I128" i="48"/>
  <c r="H128" i="48"/>
  <c r="D120" i="57"/>
  <c r="G119" i="57"/>
  <c r="E120" i="57"/>
  <c r="D132" i="49"/>
  <c r="B132" i="49" s="1"/>
  <c r="G131" i="49"/>
  <c r="E132" i="49"/>
  <c r="I130" i="49"/>
  <c r="H130" i="49"/>
  <c r="J122" i="13"/>
  <c r="G123" i="13"/>
  <c r="D124" i="13"/>
  <c r="B124" i="13" s="1"/>
  <c r="G120" i="38"/>
  <c r="H120" i="38" s="1"/>
  <c r="D121" i="38"/>
  <c r="B121" i="38" s="1"/>
  <c r="F120" i="54"/>
  <c r="E121" i="54" s="1"/>
  <c r="I120" i="38"/>
  <c r="D121" i="55"/>
  <c r="B121" i="55" s="1"/>
  <c r="G120" i="55"/>
  <c r="E121" i="55"/>
  <c r="J119" i="55"/>
  <c r="I119" i="54"/>
  <c r="H119" i="54"/>
  <c r="D120" i="47"/>
  <c r="E120" i="47" s="1"/>
  <c r="G119" i="47"/>
  <c r="B120" i="46"/>
  <c r="F120" i="46"/>
  <c r="J118" i="47"/>
  <c r="H119" i="46"/>
  <c r="I119" i="46"/>
  <c r="D120" i="45"/>
  <c r="B120" i="45" s="1"/>
  <c r="J118" i="45"/>
  <c r="E120" i="45"/>
  <c r="I119" i="45"/>
  <c r="H119" i="45"/>
  <c r="D121" i="42"/>
  <c r="B121" i="42" s="1"/>
  <c r="E123" i="44"/>
  <c r="F123" i="44" s="1"/>
  <c r="D124" i="44" s="1"/>
  <c r="B124" i="44" s="1"/>
  <c r="G122" i="44"/>
  <c r="H122" i="44" s="1"/>
  <c r="J120" i="38"/>
  <c r="D121" i="41"/>
  <c r="B121" i="41" s="1"/>
  <c r="G120" i="41"/>
  <c r="E121" i="42"/>
  <c r="J119" i="41"/>
  <c r="I120" i="42"/>
  <c r="H120" i="42"/>
  <c r="B128" i="8"/>
  <c r="F128" i="8"/>
  <c r="H129" i="7"/>
  <c r="I129" i="7"/>
  <c r="B122" i="29"/>
  <c r="F122" i="29"/>
  <c r="I126" i="5"/>
  <c r="H126" i="5"/>
  <c r="B129" i="11"/>
  <c r="F129" i="11"/>
  <c r="H118" i="37"/>
  <c r="I118" i="37"/>
  <c r="B122" i="31"/>
  <c r="F122" i="31"/>
  <c r="H125" i="25"/>
  <c r="I125" i="25"/>
  <c r="H117" i="40"/>
  <c r="I117" i="40"/>
  <c r="B123" i="27"/>
  <c r="F123" i="27"/>
  <c r="H120" i="30"/>
  <c r="I120" i="30"/>
  <c r="B130" i="10"/>
  <c r="F130" i="10"/>
  <c r="I127" i="8"/>
  <c r="H127" i="8"/>
  <c r="I121" i="29"/>
  <c r="H121" i="29"/>
  <c r="H128" i="11"/>
  <c r="I128" i="11"/>
  <c r="B129" i="9"/>
  <c r="F129" i="9"/>
  <c r="H121" i="31"/>
  <c r="I121" i="31"/>
  <c r="B119" i="39"/>
  <c r="F119" i="39"/>
  <c r="H122" i="27"/>
  <c r="I122" i="27"/>
  <c r="B122" i="28"/>
  <c r="F122" i="28"/>
  <c r="B124" i="24"/>
  <c r="F124" i="24"/>
  <c r="H129" i="10"/>
  <c r="I129" i="10"/>
  <c r="B127" i="3"/>
  <c r="F127" i="3"/>
  <c r="B128" i="6"/>
  <c r="F128" i="6"/>
  <c r="H128" i="9"/>
  <c r="I128" i="9"/>
  <c r="B126" i="22"/>
  <c r="F126" i="22"/>
  <c r="B127" i="4"/>
  <c r="F127" i="4"/>
  <c r="H118" i="39"/>
  <c r="I118" i="39"/>
  <c r="B125" i="23"/>
  <c r="F125" i="23"/>
  <c r="I121" i="28"/>
  <c r="H121" i="28"/>
  <c r="B119" i="43"/>
  <c r="F119" i="43"/>
  <c r="H123" i="24"/>
  <c r="I123" i="24"/>
  <c r="B130" i="7"/>
  <c r="F130" i="7"/>
  <c r="H126" i="3"/>
  <c r="I126" i="3"/>
  <c r="B127" i="5"/>
  <c r="F127" i="5"/>
  <c r="B119" i="37"/>
  <c r="F119" i="37"/>
  <c r="I127" i="6"/>
  <c r="H127" i="6"/>
  <c r="B126" i="25"/>
  <c r="F126" i="25"/>
  <c r="I125" i="22"/>
  <c r="H125" i="22"/>
  <c r="B118" i="40"/>
  <c r="F118" i="40"/>
  <c r="H126" i="4"/>
  <c r="I126" i="4"/>
  <c r="B121" i="30"/>
  <c r="F121" i="30"/>
  <c r="H124" i="23"/>
  <c r="I124" i="23"/>
  <c r="H118" i="43"/>
  <c r="I118" i="43"/>
  <c r="H119" i="57" l="1"/>
  <c r="I119" i="57"/>
  <c r="J119" i="57" s="1"/>
  <c r="B120" i="57"/>
  <c r="F120" i="57"/>
  <c r="J130" i="49"/>
  <c r="J155" i="49" s="1"/>
  <c r="J128" i="48"/>
  <c r="F132" i="49"/>
  <c r="I131" i="49"/>
  <c r="H131" i="49"/>
  <c r="G129" i="48"/>
  <c r="D130" i="48"/>
  <c r="B130" i="48" s="1"/>
  <c r="E130" i="48"/>
  <c r="F130" i="48" s="1"/>
  <c r="H123" i="13"/>
  <c r="I123" i="13"/>
  <c r="J123" i="13" s="1"/>
  <c r="E124" i="13"/>
  <c r="F124" i="13" s="1"/>
  <c r="F121" i="38"/>
  <c r="D122" i="38" s="1"/>
  <c r="B122" i="38" s="1"/>
  <c r="D121" i="54"/>
  <c r="B121" i="54" s="1"/>
  <c r="G120" i="54"/>
  <c r="I120" i="54" s="1"/>
  <c r="F121" i="55"/>
  <c r="D122" i="55" s="1"/>
  <c r="J119" i="54"/>
  <c r="H120" i="55"/>
  <c r="I120" i="55"/>
  <c r="F121" i="42"/>
  <c r="G121" i="42" s="1"/>
  <c r="H119" i="47"/>
  <c r="I119" i="47"/>
  <c r="J119" i="46"/>
  <c r="E121" i="46"/>
  <c r="D121" i="46"/>
  <c r="G120" i="46"/>
  <c r="F120" i="47"/>
  <c r="B120" i="47"/>
  <c r="F120" i="45"/>
  <c r="E121" i="45" s="1"/>
  <c r="J119" i="45"/>
  <c r="G123" i="44"/>
  <c r="I123" i="44" s="1"/>
  <c r="I122" i="44"/>
  <c r="J122" i="44" s="1"/>
  <c r="E124" i="44"/>
  <c r="F124" i="44" s="1"/>
  <c r="E121" i="41"/>
  <c r="F121" i="41" s="1"/>
  <c r="D122" i="42"/>
  <c r="B122" i="42" s="1"/>
  <c r="J120" i="42"/>
  <c r="H120" i="41"/>
  <c r="I120" i="41"/>
  <c r="J125" i="22"/>
  <c r="J125" i="25"/>
  <c r="J118" i="37"/>
  <c r="J129" i="7"/>
  <c r="J127" i="6"/>
  <c r="J127" i="8"/>
  <c r="J121" i="28"/>
  <c r="J121" i="29"/>
  <c r="J124" i="23"/>
  <c r="J128" i="9"/>
  <c r="J122" i="27"/>
  <c r="J121" i="31"/>
  <c r="J118" i="43"/>
  <c r="G121" i="30"/>
  <c r="D122" i="30"/>
  <c r="E122" i="30"/>
  <c r="G118" i="40"/>
  <c r="D119" i="40"/>
  <c r="E119" i="40"/>
  <c r="G126" i="25"/>
  <c r="D127" i="25"/>
  <c r="E127" i="25" s="1"/>
  <c r="G119" i="37"/>
  <c r="D120" i="37"/>
  <c r="E120" i="37"/>
  <c r="J126" i="3"/>
  <c r="J123" i="24"/>
  <c r="J118" i="39"/>
  <c r="G126" i="22"/>
  <c r="D127" i="22"/>
  <c r="E127" i="22" s="1"/>
  <c r="G128" i="6"/>
  <c r="D129" i="6"/>
  <c r="E129" i="6" s="1"/>
  <c r="J129" i="10"/>
  <c r="G122" i="28"/>
  <c r="D123" i="28"/>
  <c r="E123" i="28" s="1"/>
  <c r="G119" i="39"/>
  <c r="D120" i="39"/>
  <c r="E120" i="39"/>
  <c r="G129" i="9"/>
  <c r="D130" i="9"/>
  <c r="E130" i="9"/>
  <c r="G130" i="10"/>
  <c r="D131" i="10"/>
  <c r="E131" i="10" s="1"/>
  <c r="G123" i="27"/>
  <c r="D124" i="27"/>
  <c r="E124" i="27" s="1"/>
  <c r="J126" i="5"/>
  <c r="J126" i="4"/>
  <c r="G127" i="5"/>
  <c r="D128" i="5"/>
  <c r="E128" i="5" s="1"/>
  <c r="G130" i="7"/>
  <c r="D131" i="7"/>
  <c r="E131" i="7" s="1"/>
  <c r="G119" i="43"/>
  <c r="D120" i="43"/>
  <c r="E120" i="43"/>
  <c r="G125" i="23"/>
  <c r="D126" i="23"/>
  <c r="E126" i="23"/>
  <c r="G127" i="4"/>
  <c r="D128" i="4"/>
  <c r="E128" i="4" s="1"/>
  <c r="G127" i="3"/>
  <c r="D128" i="3"/>
  <c r="E128" i="3" s="1"/>
  <c r="G124" i="24"/>
  <c r="D125" i="24"/>
  <c r="E125" i="24"/>
  <c r="J128" i="11"/>
  <c r="J120" i="30"/>
  <c r="J117" i="40"/>
  <c r="G122" i="31"/>
  <c r="D123" i="31"/>
  <c r="E123" i="31" s="1"/>
  <c r="G129" i="11"/>
  <c r="D130" i="11"/>
  <c r="E130" i="11" s="1"/>
  <c r="G122" i="29"/>
  <c r="D123" i="29"/>
  <c r="E123" i="29"/>
  <c r="G128" i="8"/>
  <c r="D129" i="8"/>
  <c r="E129" i="8"/>
  <c r="D133" i="49" l="1"/>
  <c r="B133" i="49" s="1"/>
  <c r="G132" i="49"/>
  <c r="E133" i="49"/>
  <c r="F133" i="49" s="1"/>
  <c r="E122" i="38"/>
  <c r="F122" i="38" s="1"/>
  <c r="G121" i="38"/>
  <c r="H121" i="38" s="1"/>
  <c r="D121" i="57"/>
  <c r="E121" i="57"/>
  <c r="G120" i="57"/>
  <c r="I129" i="48"/>
  <c r="H129" i="48"/>
  <c r="G130" i="48"/>
  <c r="D131" i="48"/>
  <c r="B131" i="48" s="1"/>
  <c r="E131" i="48"/>
  <c r="H120" i="54"/>
  <c r="J120" i="54" s="1"/>
  <c r="G124" i="13"/>
  <c r="D125" i="13"/>
  <c r="B125" i="13" s="1"/>
  <c r="F121" i="54"/>
  <c r="G121" i="55"/>
  <c r="I121" i="55" s="1"/>
  <c r="E122" i="42"/>
  <c r="I121" i="38"/>
  <c r="J121" i="38" s="1"/>
  <c r="E122" i="55"/>
  <c r="F122" i="55" s="1"/>
  <c r="B122" i="55"/>
  <c r="E122" i="54"/>
  <c r="J120" i="55"/>
  <c r="J119" i="47"/>
  <c r="G120" i="47"/>
  <c r="D121" i="47"/>
  <c r="E121" i="47" s="1"/>
  <c r="I120" i="46"/>
  <c r="H120" i="46"/>
  <c r="B121" i="46"/>
  <c r="F121" i="46"/>
  <c r="G120" i="45"/>
  <c r="H120" i="45" s="1"/>
  <c r="D121" i="45"/>
  <c r="F121" i="45" s="1"/>
  <c r="H123" i="44"/>
  <c r="J123" i="44" s="1"/>
  <c r="G124" i="44"/>
  <c r="H124" i="44" s="1"/>
  <c r="D125" i="44"/>
  <c r="B125" i="44" s="1"/>
  <c r="E125" i="44"/>
  <c r="J120" i="41"/>
  <c r="F122" i="42"/>
  <c r="G122" i="42" s="1"/>
  <c r="G122" i="38"/>
  <c r="D123" i="38"/>
  <c r="G121" i="41"/>
  <c r="D122" i="41"/>
  <c r="H121" i="42"/>
  <c r="I121" i="42"/>
  <c r="B130" i="11"/>
  <c r="F130" i="11"/>
  <c r="B123" i="29"/>
  <c r="F123" i="29"/>
  <c r="H129" i="11"/>
  <c r="I129" i="11"/>
  <c r="B125" i="24"/>
  <c r="F125" i="24"/>
  <c r="I127" i="3"/>
  <c r="H127" i="3"/>
  <c r="B120" i="43"/>
  <c r="F120" i="43"/>
  <c r="H130" i="7"/>
  <c r="I130" i="7"/>
  <c r="H123" i="27"/>
  <c r="I123" i="27"/>
  <c r="B120" i="39"/>
  <c r="F120" i="39"/>
  <c r="H122" i="28"/>
  <c r="I122" i="28"/>
  <c r="H128" i="6"/>
  <c r="I128" i="6"/>
  <c r="B120" i="37"/>
  <c r="F120" i="37"/>
  <c r="H126" i="25"/>
  <c r="I126" i="25"/>
  <c r="B129" i="8"/>
  <c r="F129" i="8"/>
  <c r="H122" i="29"/>
  <c r="I122" i="29"/>
  <c r="H124" i="24"/>
  <c r="I124" i="24"/>
  <c r="B126" i="23"/>
  <c r="F126" i="23"/>
  <c r="H119" i="43"/>
  <c r="I119" i="43"/>
  <c r="B130" i="9"/>
  <c r="F130" i="9"/>
  <c r="H119" i="39"/>
  <c r="I119" i="39"/>
  <c r="H119" i="37"/>
  <c r="I119" i="37"/>
  <c r="B122" i="30"/>
  <c r="F122" i="30"/>
  <c r="H128" i="8"/>
  <c r="I128" i="8"/>
  <c r="B128" i="4"/>
  <c r="F128" i="4"/>
  <c r="I125" i="23"/>
  <c r="H125" i="23"/>
  <c r="B128" i="5"/>
  <c r="F128" i="5"/>
  <c r="B131" i="10"/>
  <c r="F131" i="10"/>
  <c r="H129" i="9"/>
  <c r="I129" i="9"/>
  <c r="B127" i="22"/>
  <c r="F127" i="22"/>
  <c r="B119" i="40"/>
  <c r="F119" i="40"/>
  <c r="H121" i="30"/>
  <c r="I121" i="30"/>
  <c r="B123" i="31"/>
  <c r="F123" i="31"/>
  <c r="I122" i="31"/>
  <c r="H122" i="31"/>
  <c r="B128" i="3"/>
  <c r="F128" i="3"/>
  <c r="H127" i="4"/>
  <c r="I127" i="4"/>
  <c r="B131" i="7"/>
  <c r="F131" i="7"/>
  <c r="H127" i="5"/>
  <c r="I127" i="5"/>
  <c r="B124" i="27"/>
  <c r="F124" i="27"/>
  <c r="I130" i="10"/>
  <c r="H130" i="10"/>
  <c r="B123" i="28"/>
  <c r="F123" i="28"/>
  <c r="B129" i="6"/>
  <c r="F129" i="6"/>
  <c r="H126" i="22"/>
  <c r="I126" i="22"/>
  <c r="B127" i="25"/>
  <c r="F127" i="25"/>
  <c r="H118" i="40"/>
  <c r="I118" i="40"/>
  <c r="I120" i="57" l="1"/>
  <c r="H120" i="57"/>
  <c r="F131" i="48"/>
  <c r="B121" i="57"/>
  <c r="F121" i="57"/>
  <c r="I130" i="48"/>
  <c r="H130" i="48"/>
  <c r="G133" i="49"/>
  <c r="D134" i="49"/>
  <c r="B134" i="49" s="1"/>
  <c r="E134" i="49"/>
  <c r="F134" i="49" s="1"/>
  <c r="H132" i="49"/>
  <c r="I132" i="49"/>
  <c r="E125" i="13"/>
  <c r="F125" i="13" s="1"/>
  <c r="J129" i="48"/>
  <c r="D126" i="13"/>
  <c r="B126" i="13" s="1"/>
  <c r="G125" i="13"/>
  <c r="H124" i="13"/>
  <c r="I124" i="13"/>
  <c r="J124" i="13" s="1"/>
  <c r="H121" i="55"/>
  <c r="J121" i="55" s="1"/>
  <c r="G121" i="54"/>
  <c r="D122" i="54"/>
  <c r="B122" i="54" s="1"/>
  <c r="G122" i="55"/>
  <c r="D123" i="55"/>
  <c r="B123" i="55" s="1"/>
  <c r="J120" i="46"/>
  <c r="I120" i="45"/>
  <c r="J120" i="45" s="1"/>
  <c r="E122" i="46"/>
  <c r="D122" i="46"/>
  <c r="G121" i="46"/>
  <c r="F121" i="47"/>
  <c r="B121" i="47"/>
  <c r="I120" i="47"/>
  <c r="H120" i="47"/>
  <c r="B121" i="45"/>
  <c r="I124" i="44"/>
  <c r="J124" i="44" s="1"/>
  <c r="F125" i="44"/>
  <c r="G125" i="44" s="1"/>
  <c r="G121" i="45"/>
  <c r="D122" i="45"/>
  <c r="D123" i="42"/>
  <c r="B123" i="42" s="1"/>
  <c r="J121" i="42"/>
  <c r="E122" i="41"/>
  <c r="F122" i="41" s="1"/>
  <c r="B122" i="41"/>
  <c r="I121" i="41"/>
  <c r="H121" i="41"/>
  <c r="E123" i="42"/>
  <c r="E123" i="38"/>
  <c r="F123" i="38" s="1"/>
  <c r="B123" i="38"/>
  <c r="H122" i="42"/>
  <c r="I122" i="42"/>
  <c r="I122" i="38"/>
  <c r="H122" i="38"/>
  <c r="J127" i="5"/>
  <c r="J122" i="29"/>
  <c r="J127" i="4"/>
  <c r="J121" i="30"/>
  <c r="J128" i="8"/>
  <c r="J119" i="37"/>
  <c r="J126" i="25"/>
  <c r="J127" i="3"/>
  <c r="G127" i="25"/>
  <c r="D128" i="25"/>
  <c r="E128" i="25" s="1"/>
  <c r="J118" i="40"/>
  <c r="J126" i="22"/>
  <c r="G123" i="28"/>
  <c r="D124" i="28"/>
  <c r="E124" i="28" s="1"/>
  <c r="G124" i="27"/>
  <c r="D125" i="27"/>
  <c r="E125" i="27" s="1"/>
  <c r="G131" i="7"/>
  <c r="D132" i="7"/>
  <c r="E132" i="7" s="1"/>
  <c r="G128" i="3"/>
  <c r="D129" i="3"/>
  <c r="E129" i="3"/>
  <c r="G123" i="31"/>
  <c r="D124" i="31"/>
  <c r="E124" i="31"/>
  <c r="G119" i="40"/>
  <c r="D120" i="40"/>
  <c r="E120" i="40"/>
  <c r="J129" i="9"/>
  <c r="G128" i="5"/>
  <c r="D129" i="5"/>
  <c r="E129" i="5" s="1"/>
  <c r="G128" i="4"/>
  <c r="D129" i="4"/>
  <c r="E129" i="4" s="1"/>
  <c r="G122" i="30"/>
  <c r="D123" i="30"/>
  <c r="E123" i="30" s="1"/>
  <c r="J119" i="39"/>
  <c r="J119" i="43"/>
  <c r="J124" i="24"/>
  <c r="G129" i="8"/>
  <c r="D130" i="8"/>
  <c r="E130" i="8" s="1"/>
  <c r="G120" i="37"/>
  <c r="D121" i="37"/>
  <c r="E121" i="37" s="1"/>
  <c r="J122" i="28"/>
  <c r="J123" i="27"/>
  <c r="G120" i="43"/>
  <c r="D121" i="43"/>
  <c r="E121" i="43" s="1"/>
  <c r="G125" i="24"/>
  <c r="D126" i="24"/>
  <c r="E126" i="24" s="1"/>
  <c r="G123" i="29"/>
  <c r="D124" i="29"/>
  <c r="E124" i="29" s="1"/>
  <c r="G129" i="6"/>
  <c r="D130" i="6"/>
  <c r="E130" i="6" s="1"/>
  <c r="G127" i="22"/>
  <c r="D128" i="22"/>
  <c r="E128" i="22" s="1"/>
  <c r="G131" i="10"/>
  <c r="D132" i="10"/>
  <c r="E132" i="10" s="1"/>
  <c r="G130" i="9"/>
  <c r="D131" i="9"/>
  <c r="E131" i="9"/>
  <c r="G126" i="23"/>
  <c r="D127" i="23"/>
  <c r="E127" i="23" s="1"/>
  <c r="J128" i="6"/>
  <c r="G120" i="39"/>
  <c r="D121" i="39"/>
  <c r="E121" i="39" s="1"/>
  <c r="J130" i="7"/>
  <c r="J129" i="11"/>
  <c r="G130" i="11"/>
  <c r="D131" i="11"/>
  <c r="E131" i="11" s="1"/>
  <c r="J130" i="10"/>
  <c r="J122" i="31"/>
  <c r="J125" i="23"/>
  <c r="J130" i="48" l="1"/>
  <c r="J155" i="48" s="1"/>
  <c r="E122" i="57"/>
  <c r="G121" i="57"/>
  <c r="D122" i="57"/>
  <c r="D132" i="48"/>
  <c r="B132" i="48" s="1"/>
  <c r="G131" i="48"/>
  <c r="E132" i="48"/>
  <c r="F132" i="48" s="1"/>
  <c r="D135" i="49"/>
  <c r="B135" i="49" s="1"/>
  <c r="G134" i="49"/>
  <c r="E135" i="49"/>
  <c r="I133" i="49"/>
  <c r="H133" i="49"/>
  <c r="E126" i="13"/>
  <c r="F126" i="13" s="1"/>
  <c r="J120" i="57"/>
  <c r="G126" i="13"/>
  <c r="D127" i="13"/>
  <c r="H125" i="13"/>
  <c r="I125" i="13"/>
  <c r="J125" i="13" s="1"/>
  <c r="E123" i="55"/>
  <c r="F123" i="55" s="1"/>
  <c r="G123" i="55" s="1"/>
  <c r="I121" i="54"/>
  <c r="H121" i="54"/>
  <c r="F122" i="54"/>
  <c r="E123" i="54" s="1"/>
  <c r="I122" i="55"/>
  <c r="H122" i="55"/>
  <c r="G121" i="47"/>
  <c r="D122" i="47"/>
  <c r="E122" i="47" s="1"/>
  <c r="H121" i="46"/>
  <c r="I121" i="46"/>
  <c r="J120" i="47"/>
  <c r="B122" i="46"/>
  <c r="F122" i="46"/>
  <c r="D126" i="44"/>
  <c r="B126" i="44" s="1"/>
  <c r="F123" i="42"/>
  <c r="G123" i="42" s="1"/>
  <c r="E122" i="45"/>
  <c r="F122" i="45" s="1"/>
  <c r="B122" i="45"/>
  <c r="I121" i="45"/>
  <c r="H121" i="45"/>
  <c r="H125" i="44"/>
  <c r="I125" i="44"/>
  <c r="E126" i="44"/>
  <c r="J121" i="41"/>
  <c r="G123" i="38"/>
  <c r="D124" i="38"/>
  <c r="B124" i="38" s="1"/>
  <c r="E124" i="38"/>
  <c r="J122" i="38"/>
  <c r="D123" i="41"/>
  <c r="G122" i="41"/>
  <c r="J122" i="42"/>
  <c r="B131" i="11"/>
  <c r="F131" i="11"/>
  <c r="B131" i="9"/>
  <c r="F131" i="9"/>
  <c r="H131" i="10"/>
  <c r="I131" i="10"/>
  <c r="B124" i="29"/>
  <c r="F124" i="29"/>
  <c r="H125" i="24"/>
  <c r="I125" i="24"/>
  <c r="H120" i="37"/>
  <c r="I120" i="37"/>
  <c r="B123" i="30"/>
  <c r="F123" i="30"/>
  <c r="I128" i="4"/>
  <c r="H128" i="4"/>
  <c r="B129" i="3"/>
  <c r="F129" i="3"/>
  <c r="H131" i="7"/>
  <c r="I131" i="7"/>
  <c r="B121" i="39"/>
  <c r="F121" i="39"/>
  <c r="B127" i="23"/>
  <c r="F127" i="23"/>
  <c r="I130" i="9"/>
  <c r="H130" i="9"/>
  <c r="B130" i="6"/>
  <c r="F130" i="6"/>
  <c r="I123" i="29"/>
  <c r="H123" i="29"/>
  <c r="H122" i="30"/>
  <c r="I122" i="30"/>
  <c r="B124" i="31"/>
  <c r="F124" i="31"/>
  <c r="I128" i="3"/>
  <c r="H128" i="3"/>
  <c r="B124" i="28"/>
  <c r="F124" i="28"/>
  <c r="H126" i="23"/>
  <c r="I126" i="23"/>
  <c r="B128" i="22"/>
  <c r="F128" i="22"/>
  <c r="H129" i="6"/>
  <c r="I129" i="6"/>
  <c r="B121" i="43"/>
  <c r="F121" i="43"/>
  <c r="B130" i="8"/>
  <c r="F130" i="8"/>
  <c r="B129" i="5"/>
  <c r="F129" i="5"/>
  <c r="B120" i="40"/>
  <c r="F120" i="40"/>
  <c r="H123" i="31"/>
  <c r="I123" i="31"/>
  <c r="B125" i="27"/>
  <c r="F125" i="27"/>
  <c r="H123" i="28"/>
  <c r="I123" i="28"/>
  <c r="B128" i="25"/>
  <c r="F128" i="25"/>
  <c r="H130" i="11"/>
  <c r="I130" i="11"/>
  <c r="H120" i="39"/>
  <c r="I120" i="39"/>
  <c r="B132" i="10"/>
  <c r="F132" i="10"/>
  <c r="I127" i="22"/>
  <c r="H127" i="22"/>
  <c r="B126" i="24"/>
  <c r="F126" i="24"/>
  <c r="H120" i="43"/>
  <c r="I120" i="43"/>
  <c r="B121" i="37"/>
  <c r="F121" i="37"/>
  <c r="I129" i="8"/>
  <c r="H129" i="8"/>
  <c r="B129" i="4"/>
  <c r="F129" i="4"/>
  <c r="H128" i="5"/>
  <c r="I128" i="5"/>
  <c r="H119" i="40"/>
  <c r="I119" i="40"/>
  <c r="B132" i="7"/>
  <c r="F132" i="7"/>
  <c r="H124" i="27"/>
  <c r="I124" i="27"/>
  <c r="H127" i="25"/>
  <c r="I127" i="25"/>
  <c r="I131" i="48" l="1"/>
  <c r="H131" i="48"/>
  <c r="G132" i="48"/>
  <c r="D133" i="48"/>
  <c r="B133" i="48" s="1"/>
  <c r="E133" i="48"/>
  <c r="B122" i="57"/>
  <c r="F122" i="57"/>
  <c r="I121" i="57"/>
  <c r="J121" i="57" s="1"/>
  <c r="H121" i="57"/>
  <c r="F135" i="49"/>
  <c r="H134" i="49"/>
  <c r="I134" i="49"/>
  <c r="B127" i="13"/>
  <c r="E127" i="13"/>
  <c r="F127" i="13" s="1"/>
  <c r="I126" i="13"/>
  <c r="H126" i="13"/>
  <c r="G122" i="54"/>
  <c r="D123" i="54"/>
  <c r="B123" i="54" s="1"/>
  <c r="J121" i="54"/>
  <c r="D124" i="55"/>
  <c r="E124" i="55" s="1"/>
  <c r="F124" i="55" s="1"/>
  <c r="I123" i="55"/>
  <c r="H123" i="55"/>
  <c r="J122" i="55"/>
  <c r="D123" i="46"/>
  <c r="E123" i="46"/>
  <c r="G122" i="46"/>
  <c r="F122" i="47"/>
  <c r="B122" i="47"/>
  <c r="F126" i="44"/>
  <c r="D127" i="44" s="1"/>
  <c r="J121" i="46"/>
  <c r="H121" i="47"/>
  <c r="I121" i="47"/>
  <c r="D124" i="42"/>
  <c r="B124" i="42" s="1"/>
  <c r="J121" i="45"/>
  <c r="G122" i="45"/>
  <c r="D123" i="45"/>
  <c r="B123" i="45" s="1"/>
  <c r="E123" i="45"/>
  <c r="J125" i="44"/>
  <c r="F124" i="38"/>
  <c r="G124" i="38" s="1"/>
  <c r="H122" i="41"/>
  <c r="I122" i="41"/>
  <c r="I123" i="42"/>
  <c r="H123" i="42"/>
  <c r="E123" i="41"/>
  <c r="F123" i="41" s="1"/>
  <c r="B123" i="41"/>
  <c r="E124" i="42"/>
  <c r="I123" i="38"/>
  <c r="H123" i="38"/>
  <c r="J123" i="29"/>
  <c r="J130" i="9"/>
  <c r="J155" i="9" s="1"/>
  <c r="J128" i="3"/>
  <c r="J128" i="4"/>
  <c r="J129" i="8"/>
  <c r="J127" i="22"/>
  <c r="J127" i="25"/>
  <c r="J129" i="6"/>
  <c r="G132" i="7"/>
  <c r="D133" i="7"/>
  <c r="E133" i="7" s="1"/>
  <c r="J128" i="5"/>
  <c r="J120" i="43"/>
  <c r="J120" i="39"/>
  <c r="G128" i="25"/>
  <c r="D129" i="25"/>
  <c r="E129" i="25"/>
  <c r="G125" i="27"/>
  <c r="D126" i="27"/>
  <c r="E126" i="27" s="1"/>
  <c r="G120" i="40"/>
  <c r="D121" i="40"/>
  <c r="E121" i="40" s="1"/>
  <c r="G130" i="8"/>
  <c r="D131" i="8"/>
  <c r="E131" i="8"/>
  <c r="J126" i="23"/>
  <c r="J122" i="30"/>
  <c r="G130" i="6"/>
  <c r="D131" i="6"/>
  <c r="E131" i="6" s="1"/>
  <c r="G127" i="23"/>
  <c r="D128" i="23"/>
  <c r="E128" i="23" s="1"/>
  <c r="J131" i="7"/>
  <c r="J120" i="37"/>
  <c r="G124" i="29"/>
  <c r="D125" i="29"/>
  <c r="E125" i="29" s="1"/>
  <c r="G131" i="9"/>
  <c r="D132" i="9"/>
  <c r="E132" i="9"/>
  <c r="J124" i="27"/>
  <c r="J119" i="40"/>
  <c r="G129" i="4"/>
  <c r="D130" i="4"/>
  <c r="E130" i="4" s="1"/>
  <c r="G121" i="37"/>
  <c r="D122" i="37"/>
  <c r="E122" i="37"/>
  <c r="G126" i="24"/>
  <c r="D127" i="24"/>
  <c r="E127" i="24"/>
  <c r="G132" i="10"/>
  <c r="D133" i="10"/>
  <c r="E133" i="10" s="1"/>
  <c r="J130" i="11"/>
  <c r="J155" i="11" s="1"/>
  <c r="J123" i="28"/>
  <c r="J123" i="31"/>
  <c r="G129" i="5"/>
  <c r="D130" i="5"/>
  <c r="E130" i="5" s="1"/>
  <c r="G121" i="43"/>
  <c r="D122" i="43"/>
  <c r="E122" i="43" s="1"/>
  <c r="G128" i="22"/>
  <c r="D129" i="22"/>
  <c r="E129" i="22" s="1"/>
  <c r="G124" i="28"/>
  <c r="D125" i="28"/>
  <c r="E125" i="28" s="1"/>
  <c r="G124" i="31"/>
  <c r="D125" i="31"/>
  <c r="E125" i="31"/>
  <c r="G121" i="39"/>
  <c r="D122" i="39"/>
  <c r="E122" i="39"/>
  <c r="G129" i="3"/>
  <c r="D130" i="3"/>
  <c r="E130" i="3" s="1"/>
  <c r="G123" i="30"/>
  <c r="D124" i="30"/>
  <c r="E124" i="30" s="1"/>
  <c r="J125" i="24"/>
  <c r="J131" i="10"/>
  <c r="G131" i="11"/>
  <c r="D132" i="11"/>
  <c r="E132" i="11" s="1"/>
  <c r="J126" i="13" l="1"/>
  <c r="E123" i="57"/>
  <c r="G122" i="57"/>
  <c r="D123" i="57"/>
  <c r="F133" i="48"/>
  <c r="D136" i="49"/>
  <c r="B136" i="49" s="1"/>
  <c r="G135" i="49"/>
  <c r="E136" i="49"/>
  <c r="F136" i="49" s="1"/>
  <c r="I132" i="48"/>
  <c r="H132" i="48"/>
  <c r="G127" i="13"/>
  <c r="D128" i="13"/>
  <c r="B128" i="13" s="1"/>
  <c r="B124" i="55"/>
  <c r="F123" i="54"/>
  <c r="I122" i="54"/>
  <c r="H122" i="54"/>
  <c r="J123" i="55"/>
  <c r="G124" i="55"/>
  <c r="D125" i="55"/>
  <c r="G126" i="44"/>
  <c r="I126" i="44" s="1"/>
  <c r="E124" i="54"/>
  <c r="F124" i="42"/>
  <c r="G124" i="42" s="1"/>
  <c r="G122" i="47"/>
  <c r="D123" i="47"/>
  <c r="E123" i="47" s="1"/>
  <c r="H122" i="46"/>
  <c r="I122" i="46"/>
  <c r="J121" i="47"/>
  <c r="F123" i="46"/>
  <c r="B123" i="46"/>
  <c r="F123" i="45"/>
  <c r="G123" i="45" s="1"/>
  <c r="H122" i="45"/>
  <c r="I122" i="45"/>
  <c r="D125" i="38"/>
  <c r="B125" i="38" s="1"/>
  <c r="J122" i="41"/>
  <c r="E127" i="44"/>
  <c r="F127" i="44" s="1"/>
  <c r="B127" i="44"/>
  <c r="J123" i="42"/>
  <c r="E125" i="38"/>
  <c r="G123" i="41"/>
  <c r="D124" i="41"/>
  <c r="B124" i="41" s="1"/>
  <c r="J123" i="38"/>
  <c r="H124" i="38"/>
  <c r="I124" i="38"/>
  <c r="F130" i="5"/>
  <c r="B130" i="5"/>
  <c r="B122" i="39"/>
  <c r="F122" i="39"/>
  <c r="H124" i="31"/>
  <c r="I124" i="31"/>
  <c r="B122" i="43"/>
  <c r="F122" i="43"/>
  <c r="H129" i="5"/>
  <c r="I129" i="5"/>
  <c r="B127" i="24"/>
  <c r="F127" i="24"/>
  <c r="H121" i="37"/>
  <c r="I121" i="37"/>
  <c r="I131" i="9"/>
  <c r="H131" i="9"/>
  <c r="I127" i="23"/>
  <c r="H127" i="23"/>
  <c r="H130" i="8"/>
  <c r="I130" i="8"/>
  <c r="B129" i="25"/>
  <c r="F129" i="25"/>
  <c r="I131" i="11"/>
  <c r="H131" i="11"/>
  <c r="H123" i="30"/>
  <c r="I123" i="30"/>
  <c r="B132" i="11"/>
  <c r="F132" i="11"/>
  <c r="B130" i="3"/>
  <c r="F130" i="3"/>
  <c r="H121" i="39"/>
  <c r="I121" i="39"/>
  <c r="B129" i="22"/>
  <c r="F129" i="22"/>
  <c r="H121" i="43"/>
  <c r="I121" i="43"/>
  <c r="B133" i="10"/>
  <c r="F133" i="10"/>
  <c r="H126" i="24"/>
  <c r="I126" i="24"/>
  <c r="B126" i="27"/>
  <c r="F126" i="27"/>
  <c r="I128" i="25"/>
  <c r="H128" i="25"/>
  <c r="B124" i="30"/>
  <c r="F124" i="30"/>
  <c r="H129" i="3"/>
  <c r="I129" i="3"/>
  <c r="B125" i="28"/>
  <c r="F125" i="28"/>
  <c r="H128" i="22"/>
  <c r="I128" i="22"/>
  <c r="H132" i="10"/>
  <c r="I132" i="10"/>
  <c r="B130" i="4"/>
  <c r="F130" i="4"/>
  <c r="B125" i="29"/>
  <c r="F125" i="29"/>
  <c r="B131" i="6"/>
  <c r="F131" i="6"/>
  <c r="B121" i="40"/>
  <c r="F121" i="40"/>
  <c r="H125" i="27"/>
  <c r="I125" i="27"/>
  <c r="B133" i="7"/>
  <c r="F133" i="7"/>
  <c r="B125" i="31"/>
  <c r="F125" i="31"/>
  <c r="H124" i="28"/>
  <c r="I124" i="28"/>
  <c r="B122" i="37"/>
  <c r="F122" i="37"/>
  <c r="H129" i="4"/>
  <c r="I129" i="4"/>
  <c r="B132" i="9"/>
  <c r="F132" i="9"/>
  <c r="H124" i="29"/>
  <c r="I124" i="29"/>
  <c r="B128" i="23"/>
  <c r="F128" i="23"/>
  <c r="H130" i="6"/>
  <c r="I130" i="6"/>
  <c r="B131" i="8"/>
  <c r="F131" i="8"/>
  <c r="H120" i="40"/>
  <c r="I120" i="40"/>
  <c r="H132" i="7"/>
  <c r="I132" i="7"/>
  <c r="G136" i="49" l="1"/>
  <c r="D137" i="49"/>
  <c r="B137" i="49" s="1"/>
  <c r="E137" i="49"/>
  <c r="F137" i="49" s="1"/>
  <c r="H135" i="49"/>
  <c r="I135" i="49"/>
  <c r="E128" i="13"/>
  <c r="F128" i="13" s="1"/>
  <c r="D134" i="48"/>
  <c r="B134" i="48" s="1"/>
  <c r="G133" i="48"/>
  <c r="E134" i="48"/>
  <c r="B123" i="57"/>
  <c r="F123" i="57"/>
  <c r="H122" i="57"/>
  <c r="I122" i="57"/>
  <c r="D129" i="13"/>
  <c r="G128" i="13"/>
  <c r="I127" i="13"/>
  <c r="H127" i="13"/>
  <c r="J122" i="54"/>
  <c r="G123" i="54"/>
  <c r="D124" i="54"/>
  <c r="B124" i="54" s="1"/>
  <c r="H126" i="44"/>
  <c r="J126" i="44" s="1"/>
  <c r="D125" i="42"/>
  <c r="B125" i="42" s="1"/>
  <c r="E125" i="55"/>
  <c r="F125" i="55" s="1"/>
  <c r="B125" i="55"/>
  <c r="I124" i="55"/>
  <c r="H124" i="55"/>
  <c r="D124" i="46"/>
  <c r="G123" i="46"/>
  <c r="E124" i="46"/>
  <c r="B123" i="47"/>
  <c r="F123" i="47"/>
  <c r="J122" i="46"/>
  <c r="H122" i="47"/>
  <c r="I122" i="47"/>
  <c r="E124" i="45"/>
  <c r="D124" i="45"/>
  <c r="B124" i="45" s="1"/>
  <c r="F125" i="38"/>
  <c r="G125" i="38" s="1"/>
  <c r="J122" i="45"/>
  <c r="H123" i="45"/>
  <c r="I123" i="45"/>
  <c r="G127" i="44"/>
  <c r="D128" i="44"/>
  <c r="B128" i="44" s="1"/>
  <c r="E128" i="44"/>
  <c r="J124" i="38"/>
  <c r="E124" i="41"/>
  <c r="F124" i="41" s="1"/>
  <c r="G124" i="41" s="1"/>
  <c r="H123" i="41"/>
  <c r="I123" i="41"/>
  <c r="I124" i="42"/>
  <c r="H124" i="42"/>
  <c r="E125" i="42"/>
  <c r="J121" i="37"/>
  <c r="J129" i="5"/>
  <c r="J124" i="31"/>
  <c r="J120" i="40"/>
  <c r="J123" i="30"/>
  <c r="J128" i="25"/>
  <c r="J132" i="7"/>
  <c r="G131" i="8"/>
  <c r="D132" i="8"/>
  <c r="E132" i="8"/>
  <c r="G128" i="23"/>
  <c r="D129" i="23"/>
  <c r="E129" i="23" s="1"/>
  <c r="G132" i="9"/>
  <c r="D133" i="9"/>
  <c r="E133" i="9" s="1"/>
  <c r="G122" i="37"/>
  <c r="D123" i="37"/>
  <c r="E123" i="37" s="1"/>
  <c r="G125" i="31"/>
  <c r="D126" i="31"/>
  <c r="E126" i="31"/>
  <c r="J125" i="27"/>
  <c r="G131" i="6"/>
  <c r="D132" i="6"/>
  <c r="E132" i="6"/>
  <c r="G130" i="4"/>
  <c r="D131" i="4"/>
  <c r="E131" i="4" s="1"/>
  <c r="J128" i="22"/>
  <c r="J129" i="3"/>
  <c r="J126" i="24"/>
  <c r="J121" i="43"/>
  <c r="J121" i="39"/>
  <c r="G132" i="11"/>
  <c r="D133" i="11"/>
  <c r="E133" i="11" s="1"/>
  <c r="J130" i="8"/>
  <c r="G127" i="24"/>
  <c r="D128" i="24"/>
  <c r="E128" i="24" s="1"/>
  <c r="G122" i="43"/>
  <c r="D123" i="43"/>
  <c r="E123" i="43"/>
  <c r="G122" i="39"/>
  <c r="D123" i="39"/>
  <c r="E123" i="39" s="1"/>
  <c r="J130" i="6"/>
  <c r="J124" i="29"/>
  <c r="J129" i="4"/>
  <c r="J124" i="28"/>
  <c r="G133" i="7"/>
  <c r="D134" i="7"/>
  <c r="E134" i="7"/>
  <c r="G121" i="40"/>
  <c r="D122" i="40"/>
  <c r="E122" i="40" s="1"/>
  <c r="G125" i="29"/>
  <c r="D126" i="29"/>
  <c r="E126" i="29" s="1"/>
  <c r="J132" i="10"/>
  <c r="G125" i="28"/>
  <c r="D126" i="28"/>
  <c r="E126" i="28" s="1"/>
  <c r="G124" i="30"/>
  <c r="D125" i="30"/>
  <c r="E125" i="30"/>
  <c r="G126" i="27"/>
  <c r="D127" i="27"/>
  <c r="E127" i="27"/>
  <c r="G133" i="10"/>
  <c r="D134" i="10"/>
  <c r="E134" i="10" s="1"/>
  <c r="G129" i="22"/>
  <c r="D130" i="22"/>
  <c r="E130" i="22" s="1"/>
  <c r="G130" i="3"/>
  <c r="D131" i="3"/>
  <c r="E131" i="3" s="1"/>
  <c r="G129" i="25"/>
  <c r="D130" i="25"/>
  <c r="E130" i="25" s="1"/>
  <c r="J127" i="23"/>
  <c r="G130" i="5"/>
  <c r="D131" i="5"/>
  <c r="E131" i="5" s="1"/>
  <c r="H133" i="48" l="1"/>
  <c r="I133" i="48"/>
  <c r="J122" i="57"/>
  <c r="E124" i="57"/>
  <c r="D124" i="57"/>
  <c r="G123" i="57"/>
  <c r="D138" i="49"/>
  <c r="G137" i="49"/>
  <c r="F134" i="48"/>
  <c r="I136" i="49"/>
  <c r="H136" i="49"/>
  <c r="J127" i="13"/>
  <c r="H128" i="13"/>
  <c r="I128" i="13"/>
  <c r="E129" i="13"/>
  <c r="F129" i="13" s="1"/>
  <c r="B129" i="13"/>
  <c r="I123" i="54"/>
  <c r="H123" i="54"/>
  <c r="F124" i="54"/>
  <c r="F125" i="42"/>
  <c r="G125" i="42" s="1"/>
  <c r="J124" i="55"/>
  <c r="D126" i="55"/>
  <c r="G125" i="55"/>
  <c r="E125" i="54"/>
  <c r="J122" i="47"/>
  <c r="H123" i="46"/>
  <c r="I123" i="46"/>
  <c r="D124" i="47"/>
  <c r="E124" i="47" s="1"/>
  <c r="G123" i="47"/>
  <c r="B124" i="46"/>
  <c r="F124" i="46"/>
  <c r="D126" i="38"/>
  <c r="B126" i="38" s="1"/>
  <c r="F124" i="45"/>
  <c r="J123" i="45"/>
  <c r="F128" i="44"/>
  <c r="G128" i="44" s="1"/>
  <c r="I127" i="44"/>
  <c r="H127" i="44"/>
  <c r="D125" i="41"/>
  <c r="B125" i="41" s="1"/>
  <c r="J123" i="41"/>
  <c r="J124" i="42"/>
  <c r="H124" i="41"/>
  <c r="I124" i="41"/>
  <c r="I125" i="38"/>
  <c r="H125" i="38"/>
  <c r="E126" i="38"/>
  <c r="B131" i="5"/>
  <c r="F131" i="5"/>
  <c r="H130" i="3"/>
  <c r="I130" i="3"/>
  <c r="H130" i="5"/>
  <c r="I130" i="5"/>
  <c r="B131" i="3"/>
  <c r="F131" i="3"/>
  <c r="I129" i="22"/>
  <c r="H129" i="22"/>
  <c r="B125" i="30"/>
  <c r="F125" i="30"/>
  <c r="H125" i="28"/>
  <c r="I125" i="28"/>
  <c r="H125" i="29"/>
  <c r="I125" i="29"/>
  <c r="B123" i="39"/>
  <c r="F123" i="39"/>
  <c r="H122" i="43"/>
  <c r="I122" i="43"/>
  <c r="B123" i="37"/>
  <c r="F123" i="37"/>
  <c r="H132" i="9"/>
  <c r="I132" i="9"/>
  <c r="B130" i="25"/>
  <c r="F130" i="25"/>
  <c r="B127" i="27"/>
  <c r="F127" i="27"/>
  <c r="H124" i="30"/>
  <c r="I124" i="30"/>
  <c r="B134" i="7"/>
  <c r="F134" i="7"/>
  <c r="H122" i="39"/>
  <c r="I122" i="39"/>
  <c r="B132" i="6"/>
  <c r="F132" i="6"/>
  <c r="B126" i="31"/>
  <c r="F126" i="31"/>
  <c r="I122" i="37"/>
  <c r="H122" i="37"/>
  <c r="B132" i="8"/>
  <c r="F132" i="8"/>
  <c r="B134" i="10"/>
  <c r="F134" i="10"/>
  <c r="I126" i="27"/>
  <c r="H126" i="27"/>
  <c r="B122" i="40"/>
  <c r="F122" i="40"/>
  <c r="H133" i="7"/>
  <c r="I133" i="7"/>
  <c r="B128" i="24"/>
  <c r="F128" i="24"/>
  <c r="B133" i="11"/>
  <c r="F133" i="11"/>
  <c r="B131" i="4"/>
  <c r="F131" i="4"/>
  <c r="H131" i="6"/>
  <c r="I131" i="6"/>
  <c r="I125" i="31"/>
  <c r="H125" i="31"/>
  <c r="B129" i="23"/>
  <c r="F129" i="23"/>
  <c r="H131" i="8"/>
  <c r="I131" i="8"/>
  <c r="H129" i="25"/>
  <c r="I129" i="25"/>
  <c r="B130" i="22"/>
  <c r="F130" i="22"/>
  <c r="H133" i="10"/>
  <c r="I133" i="10"/>
  <c r="B126" i="28"/>
  <c r="F126" i="28"/>
  <c r="B126" i="29"/>
  <c r="F126" i="29"/>
  <c r="H121" i="40"/>
  <c r="I121" i="40"/>
  <c r="B123" i="43"/>
  <c r="F123" i="43"/>
  <c r="I127" i="24"/>
  <c r="H127" i="24"/>
  <c r="I132" i="11"/>
  <c r="H132" i="11"/>
  <c r="H130" i="4"/>
  <c r="I130" i="4"/>
  <c r="B133" i="9"/>
  <c r="F133" i="9"/>
  <c r="H128" i="23"/>
  <c r="I128" i="23"/>
  <c r="E138" i="49" l="1"/>
  <c r="F138" i="49" s="1"/>
  <c r="B138" i="49"/>
  <c r="I123" i="57"/>
  <c r="H123" i="57"/>
  <c r="H137" i="49"/>
  <c r="I137" i="49"/>
  <c r="F124" i="57"/>
  <c r="B124" i="57"/>
  <c r="G134" i="48"/>
  <c r="D135" i="48"/>
  <c r="B135" i="48" s="1"/>
  <c r="E135" i="48"/>
  <c r="F135" i="48" s="1"/>
  <c r="G129" i="13"/>
  <c r="D130" i="13"/>
  <c r="J128" i="13"/>
  <c r="D126" i="42"/>
  <c r="B126" i="42" s="1"/>
  <c r="J123" i="54"/>
  <c r="G124" i="54"/>
  <c r="D125" i="54"/>
  <c r="B125" i="54" s="1"/>
  <c r="J123" i="46"/>
  <c r="I125" i="55"/>
  <c r="H125" i="55"/>
  <c r="E126" i="55"/>
  <c r="F126" i="55" s="1"/>
  <c r="B126" i="55"/>
  <c r="H123" i="47"/>
  <c r="I123" i="47"/>
  <c r="E125" i="46"/>
  <c r="D125" i="46"/>
  <c r="G124" i="46"/>
  <c r="F124" i="47"/>
  <c r="B124" i="47"/>
  <c r="F126" i="38"/>
  <c r="D127" i="38" s="1"/>
  <c r="D129" i="44"/>
  <c r="B129" i="44" s="1"/>
  <c r="E125" i="45"/>
  <c r="G124" i="45"/>
  <c r="D125" i="45"/>
  <c r="E125" i="41"/>
  <c r="F125" i="41" s="1"/>
  <c r="D126" i="41" s="1"/>
  <c r="J124" i="41"/>
  <c r="J127" i="44"/>
  <c r="E129" i="44"/>
  <c r="H128" i="44"/>
  <c r="I128" i="44"/>
  <c r="E126" i="42"/>
  <c r="I125" i="42"/>
  <c r="H125" i="42"/>
  <c r="J125" i="38"/>
  <c r="J130" i="3"/>
  <c r="J129" i="22"/>
  <c r="J122" i="37"/>
  <c r="J125" i="31"/>
  <c r="J127" i="24"/>
  <c r="J126" i="27"/>
  <c r="J133" i="10"/>
  <c r="J122" i="39"/>
  <c r="J124" i="30"/>
  <c r="J128" i="23"/>
  <c r="J130" i="4"/>
  <c r="J121" i="40"/>
  <c r="G126" i="28"/>
  <c r="D127" i="28"/>
  <c r="E127" i="28" s="1"/>
  <c r="G130" i="22"/>
  <c r="D131" i="22"/>
  <c r="E131" i="22"/>
  <c r="J131" i="8"/>
  <c r="G131" i="4"/>
  <c r="D132" i="4"/>
  <c r="E132" i="4"/>
  <c r="G128" i="24"/>
  <c r="D129" i="24"/>
  <c r="E129" i="24"/>
  <c r="G122" i="40"/>
  <c r="D123" i="40"/>
  <c r="E123" i="40" s="1"/>
  <c r="G134" i="10"/>
  <c r="D135" i="10"/>
  <c r="E135" i="10" s="1"/>
  <c r="G132" i="6"/>
  <c r="D133" i="6"/>
  <c r="E133" i="6" s="1"/>
  <c r="G134" i="7"/>
  <c r="D135" i="7"/>
  <c r="E135" i="7"/>
  <c r="G127" i="27"/>
  <c r="D128" i="27"/>
  <c r="E128" i="27" s="1"/>
  <c r="J122" i="43"/>
  <c r="J125" i="29"/>
  <c r="G125" i="30"/>
  <c r="D126" i="30"/>
  <c r="E126" i="30"/>
  <c r="G131" i="3"/>
  <c r="D132" i="3"/>
  <c r="E132" i="3" s="1"/>
  <c r="G133" i="9"/>
  <c r="D134" i="9"/>
  <c r="E134" i="9" s="1"/>
  <c r="G123" i="43"/>
  <c r="D124" i="43"/>
  <c r="E124" i="43" s="1"/>
  <c r="G126" i="29"/>
  <c r="D127" i="29"/>
  <c r="E127" i="29"/>
  <c r="J129" i="25"/>
  <c r="G129" i="23"/>
  <c r="D130" i="23"/>
  <c r="E130" i="23"/>
  <c r="J131" i="6"/>
  <c r="G133" i="11"/>
  <c r="D134" i="11"/>
  <c r="E134" i="11"/>
  <c r="J133" i="7"/>
  <c r="G132" i="8"/>
  <c r="D133" i="8"/>
  <c r="E133" i="8"/>
  <c r="G126" i="31"/>
  <c r="D127" i="31"/>
  <c r="E127" i="31" s="1"/>
  <c r="G130" i="25"/>
  <c r="D131" i="25"/>
  <c r="E131" i="25" s="1"/>
  <c r="G123" i="37"/>
  <c r="D124" i="37"/>
  <c r="E124" i="37" s="1"/>
  <c r="G123" i="39"/>
  <c r="D124" i="39"/>
  <c r="E124" i="39" s="1"/>
  <c r="J125" i="28"/>
  <c r="J130" i="5"/>
  <c r="G131" i="5"/>
  <c r="D132" i="5"/>
  <c r="E132" i="5" s="1"/>
  <c r="G138" i="49" l="1"/>
  <c r="D139" i="49"/>
  <c r="B139" i="49" s="1"/>
  <c r="E139" i="49"/>
  <c r="F139" i="49" s="1"/>
  <c r="D125" i="57"/>
  <c r="G124" i="57"/>
  <c r="E125" i="57"/>
  <c r="F126" i="42"/>
  <c r="G126" i="42" s="1"/>
  <c r="J123" i="57"/>
  <c r="D136" i="48"/>
  <c r="B136" i="48" s="1"/>
  <c r="G135" i="48"/>
  <c r="E136" i="48"/>
  <c r="F136" i="48" s="1"/>
  <c r="I134" i="48"/>
  <c r="H134" i="48"/>
  <c r="B130" i="13"/>
  <c r="E130" i="13"/>
  <c r="F130" i="13" s="1"/>
  <c r="I129" i="13"/>
  <c r="H129" i="13"/>
  <c r="H124" i="54"/>
  <c r="I124" i="54"/>
  <c r="J124" i="54" s="1"/>
  <c r="F125" i="54"/>
  <c r="E126" i="54" s="1"/>
  <c r="J125" i="55"/>
  <c r="G126" i="55"/>
  <c r="D127" i="55"/>
  <c r="B127" i="55" s="1"/>
  <c r="J123" i="47"/>
  <c r="B125" i="46"/>
  <c r="F125" i="46"/>
  <c r="D125" i="47"/>
  <c r="E125" i="47" s="1"/>
  <c r="G124" i="47"/>
  <c r="I124" i="46"/>
  <c r="H124" i="46"/>
  <c r="G126" i="38"/>
  <c r="H126" i="38" s="1"/>
  <c r="F129" i="44"/>
  <c r="D130" i="44" s="1"/>
  <c r="H124" i="45"/>
  <c r="I124" i="45"/>
  <c r="B125" i="45"/>
  <c r="F125" i="45"/>
  <c r="G125" i="41"/>
  <c r="H125" i="41" s="1"/>
  <c r="J128" i="44"/>
  <c r="E126" i="41"/>
  <c r="F126" i="41" s="1"/>
  <c r="B126" i="41"/>
  <c r="J125" i="42"/>
  <c r="E127" i="38"/>
  <c r="F127" i="38" s="1"/>
  <c r="B127" i="38"/>
  <c r="B132" i="5"/>
  <c r="F132" i="5"/>
  <c r="B124" i="37"/>
  <c r="F124" i="37"/>
  <c r="H130" i="25"/>
  <c r="I130" i="25"/>
  <c r="B124" i="43"/>
  <c r="F124" i="43"/>
  <c r="H133" i="9"/>
  <c r="I133" i="9"/>
  <c r="B133" i="6"/>
  <c r="F133" i="6"/>
  <c r="H134" i="10"/>
  <c r="I134" i="10"/>
  <c r="B132" i="4"/>
  <c r="F132" i="4"/>
  <c r="B131" i="22"/>
  <c r="F131" i="22"/>
  <c r="H126" i="28"/>
  <c r="I126" i="28"/>
  <c r="H131" i="5"/>
  <c r="I131" i="5"/>
  <c r="B133" i="8"/>
  <c r="F133" i="8"/>
  <c r="B134" i="11"/>
  <c r="F134" i="11"/>
  <c r="B130" i="23"/>
  <c r="F130" i="23"/>
  <c r="B127" i="29"/>
  <c r="F127" i="29"/>
  <c r="I123" i="43"/>
  <c r="H123" i="43"/>
  <c r="B126" i="30"/>
  <c r="F126" i="30"/>
  <c r="B135" i="7"/>
  <c r="F135" i="7"/>
  <c r="H132" i="6"/>
  <c r="I132" i="6"/>
  <c r="B129" i="24"/>
  <c r="F129" i="24"/>
  <c r="H131" i="4"/>
  <c r="I131" i="4"/>
  <c r="H130" i="22"/>
  <c r="I130" i="22"/>
  <c r="B124" i="39"/>
  <c r="F124" i="39"/>
  <c r="H123" i="39"/>
  <c r="I123" i="39"/>
  <c r="B127" i="31"/>
  <c r="F127" i="31"/>
  <c r="H132" i="8"/>
  <c r="I132" i="8"/>
  <c r="H133" i="11"/>
  <c r="I133" i="11"/>
  <c r="H129" i="23"/>
  <c r="I129" i="23"/>
  <c r="H126" i="29"/>
  <c r="I126" i="29"/>
  <c r="B132" i="3"/>
  <c r="F132" i="3"/>
  <c r="I125" i="30"/>
  <c r="H125" i="30"/>
  <c r="B128" i="27"/>
  <c r="F128" i="27"/>
  <c r="H134" i="7"/>
  <c r="I134" i="7"/>
  <c r="B123" i="40"/>
  <c r="F123" i="40"/>
  <c r="I128" i="24"/>
  <c r="H128" i="24"/>
  <c r="H123" i="37"/>
  <c r="I123" i="37"/>
  <c r="B131" i="25"/>
  <c r="F131" i="25"/>
  <c r="I126" i="31"/>
  <c r="H126" i="31"/>
  <c r="B134" i="9"/>
  <c r="F134" i="9"/>
  <c r="H131" i="3"/>
  <c r="I131" i="3"/>
  <c r="H127" i="27"/>
  <c r="I127" i="27"/>
  <c r="B135" i="10"/>
  <c r="F135" i="10"/>
  <c r="H122" i="40"/>
  <c r="I122" i="40"/>
  <c r="B127" i="28"/>
  <c r="F127" i="28"/>
  <c r="D127" i="42" l="1"/>
  <c r="B127" i="42" s="1"/>
  <c r="G136" i="48"/>
  <c r="D137" i="48"/>
  <c r="B137" i="48" s="1"/>
  <c r="E137" i="48"/>
  <c r="F137" i="48" s="1"/>
  <c r="D140" i="49"/>
  <c r="B140" i="49" s="1"/>
  <c r="G139" i="49"/>
  <c r="E140" i="49"/>
  <c r="F140" i="49" s="1"/>
  <c r="B125" i="57"/>
  <c r="F125" i="57"/>
  <c r="H135" i="48"/>
  <c r="I135" i="48"/>
  <c r="I124" i="57"/>
  <c r="H124" i="57"/>
  <c r="I138" i="49"/>
  <c r="H138" i="49"/>
  <c r="J129" i="13"/>
  <c r="G130" i="13"/>
  <c r="D131" i="13"/>
  <c r="E127" i="55"/>
  <c r="F127" i="55" s="1"/>
  <c r="G127" i="55" s="1"/>
  <c r="D126" i="54"/>
  <c r="B126" i="54" s="1"/>
  <c r="G125" i="54"/>
  <c r="H126" i="55"/>
  <c r="I126" i="55"/>
  <c r="H124" i="47"/>
  <c r="I124" i="47"/>
  <c r="B125" i="47"/>
  <c r="F125" i="47"/>
  <c r="J124" i="46"/>
  <c r="G125" i="46"/>
  <c r="D126" i="46"/>
  <c r="E126" i="46"/>
  <c r="I126" i="38"/>
  <c r="J126" i="38" s="1"/>
  <c r="J124" i="45"/>
  <c r="G129" i="44"/>
  <c r="I129" i="44" s="1"/>
  <c r="G125" i="45"/>
  <c r="D126" i="45"/>
  <c r="E126" i="45"/>
  <c r="I125" i="41"/>
  <c r="J125" i="41" s="1"/>
  <c r="E130" i="44"/>
  <c r="F130" i="44" s="1"/>
  <c r="B130" i="44"/>
  <c r="E127" i="42"/>
  <c r="F127" i="42" s="1"/>
  <c r="D128" i="42" s="1"/>
  <c r="B128" i="42" s="1"/>
  <c r="G126" i="41"/>
  <c r="D127" i="41"/>
  <c r="B127" i="41" s="1"/>
  <c r="G127" i="38"/>
  <c r="D128" i="38"/>
  <c r="B128" i="38" s="1"/>
  <c r="E128" i="38"/>
  <c r="I126" i="42"/>
  <c r="H126" i="42"/>
  <c r="J125" i="30"/>
  <c r="J126" i="31"/>
  <c r="J123" i="43"/>
  <c r="J122" i="40"/>
  <c r="J131" i="4"/>
  <c r="J127" i="27"/>
  <c r="J134" i="7"/>
  <c r="J128" i="24"/>
  <c r="G127" i="28"/>
  <c r="D128" i="28"/>
  <c r="E128" i="28" s="1"/>
  <c r="G135" i="10"/>
  <c r="D136" i="10"/>
  <c r="E136" i="10"/>
  <c r="J131" i="3"/>
  <c r="J123" i="37"/>
  <c r="G123" i="40"/>
  <c r="D124" i="40"/>
  <c r="E124" i="40" s="1"/>
  <c r="G128" i="27"/>
  <c r="D129" i="27"/>
  <c r="E129" i="27" s="1"/>
  <c r="G132" i="3"/>
  <c r="D133" i="3"/>
  <c r="E133" i="3"/>
  <c r="J129" i="23"/>
  <c r="J132" i="8"/>
  <c r="J123" i="39"/>
  <c r="J130" i="22"/>
  <c r="J155" i="22" s="1"/>
  <c r="G129" i="24"/>
  <c r="D130" i="24"/>
  <c r="E130" i="24"/>
  <c r="G135" i="7"/>
  <c r="D136" i="7"/>
  <c r="E136" i="7" s="1"/>
  <c r="G130" i="23"/>
  <c r="D131" i="23"/>
  <c r="E131" i="23"/>
  <c r="G133" i="8"/>
  <c r="D134" i="8"/>
  <c r="E134" i="8"/>
  <c r="J126" i="28"/>
  <c r="G132" i="4"/>
  <c r="D133" i="4"/>
  <c r="E133" i="4"/>
  <c r="G133" i="6"/>
  <c r="D134" i="6"/>
  <c r="E134" i="6"/>
  <c r="G124" i="43"/>
  <c r="D125" i="43"/>
  <c r="E125" i="43" s="1"/>
  <c r="G124" i="37"/>
  <c r="D125" i="37"/>
  <c r="E125" i="37"/>
  <c r="G134" i="9"/>
  <c r="D135" i="9"/>
  <c r="E135" i="9"/>
  <c r="D132" i="25"/>
  <c r="E132" i="25" s="1"/>
  <c r="G131" i="25"/>
  <c r="J126" i="29"/>
  <c r="G127" i="31"/>
  <c r="D128" i="31"/>
  <c r="E128" i="31"/>
  <c r="G124" i="39"/>
  <c r="D125" i="39"/>
  <c r="E125" i="39" s="1"/>
  <c r="J132" i="6"/>
  <c r="G126" i="30"/>
  <c r="D127" i="30"/>
  <c r="E127" i="30" s="1"/>
  <c r="G127" i="29"/>
  <c r="D128" i="29"/>
  <c r="E128" i="29"/>
  <c r="G134" i="11"/>
  <c r="D135" i="11"/>
  <c r="E135" i="11"/>
  <c r="J131" i="5"/>
  <c r="G131" i="22"/>
  <c r="D132" i="22"/>
  <c r="E132" i="22"/>
  <c r="J134" i="10"/>
  <c r="J130" i="25"/>
  <c r="G132" i="5"/>
  <c r="D133" i="5"/>
  <c r="E133" i="5"/>
  <c r="J124" i="57" l="1"/>
  <c r="D138" i="48"/>
  <c r="B138" i="48" s="1"/>
  <c r="G137" i="48"/>
  <c r="G140" i="49"/>
  <c r="D141" i="49"/>
  <c r="I139" i="49"/>
  <c r="H139" i="49"/>
  <c r="I136" i="48"/>
  <c r="H136" i="48"/>
  <c r="G125" i="57"/>
  <c r="E126" i="57"/>
  <c r="D126" i="57"/>
  <c r="B131" i="13"/>
  <c r="E131" i="13"/>
  <c r="F131" i="13" s="1"/>
  <c r="I130" i="13"/>
  <c r="H130" i="13"/>
  <c r="F126" i="54"/>
  <c r="I125" i="54"/>
  <c r="H125" i="54"/>
  <c r="D128" i="55"/>
  <c r="B128" i="55" s="1"/>
  <c r="J126" i="55"/>
  <c r="E127" i="54"/>
  <c r="H127" i="55"/>
  <c r="I127" i="55"/>
  <c r="J124" i="47"/>
  <c r="D126" i="47"/>
  <c r="E126" i="47" s="1"/>
  <c r="G125" i="47"/>
  <c r="B126" i="46"/>
  <c r="F126" i="46"/>
  <c r="I125" i="46"/>
  <c r="H125" i="46"/>
  <c r="H129" i="44"/>
  <c r="J129" i="44" s="1"/>
  <c r="I125" i="45"/>
  <c r="H125" i="45"/>
  <c r="F126" i="45"/>
  <c r="B126" i="45"/>
  <c r="G130" i="44"/>
  <c r="D131" i="44"/>
  <c r="B131" i="44" s="1"/>
  <c r="G127" i="42"/>
  <c r="I127" i="42" s="1"/>
  <c r="F128" i="38"/>
  <c r="G128" i="38" s="1"/>
  <c r="E128" i="42"/>
  <c r="F128" i="42" s="1"/>
  <c r="E127" i="41"/>
  <c r="F127" i="41" s="1"/>
  <c r="G127" i="41" s="1"/>
  <c r="I127" i="38"/>
  <c r="H127" i="38"/>
  <c r="J126" i="42"/>
  <c r="I126" i="41"/>
  <c r="H126" i="41"/>
  <c r="I132" i="5"/>
  <c r="H132" i="5"/>
  <c r="B135" i="11"/>
  <c r="F135" i="11"/>
  <c r="H127" i="29"/>
  <c r="I127" i="29"/>
  <c r="B135" i="9"/>
  <c r="F135" i="9"/>
  <c r="H124" i="37"/>
  <c r="I124" i="37"/>
  <c r="B133" i="4"/>
  <c r="F133" i="4"/>
  <c r="B134" i="8"/>
  <c r="F134" i="8"/>
  <c r="H130" i="23"/>
  <c r="I130" i="23"/>
  <c r="B133" i="3"/>
  <c r="F133" i="3"/>
  <c r="H128" i="27"/>
  <c r="I128" i="27"/>
  <c r="H135" i="10"/>
  <c r="I135" i="10"/>
  <c r="B133" i="5"/>
  <c r="F133" i="5"/>
  <c r="B132" i="22"/>
  <c r="F132" i="22"/>
  <c r="I131" i="22"/>
  <c r="H131" i="22"/>
  <c r="I134" i="11"/>
  <c r="H134" i="11"/>
  <c r="B128" i="31"/>
  <c r="F128" i="31"/>
  <c r="H131" i="25"/>
  <c r="I131" i="25"/>
  <c r="I134" i="9"/>
  <c r="H134" i="9"/>
  <c r="B134" i="6"/>
  <c r="F134" i="6"/>
  <c r="I132" i="4"/>
  <c r="H132" i="4"/>
  <c r="I133" i="8"/>
  <c r="H133" i="8"/>
  <c r="B130" i="24"/>
  <c r="F130" i="24"/>
  <c r="I132" i="3"/>
  <c r="H132" i="3"/>
  <c r="B127" i="30"/>
  <c r="F127" i="30"/>
  <c r="B125" i="39"/>
  <c r="F125" i="39"/>
  <c r="H127" i="31"/>
  <c r="I127" i="31"/>
  <c r="B132" i="25"/>
  <c r="F132" i="25"/>
  <c r="B125" i="43"/>
  <c r="F125" i="43"/>
  <c r="H133" i="6"/>
  <c r="I133" i="6"/>
  <c r="B136" i="7"/>
  <c r="F136" i="7"/>
  <c r="H129" i="24"/>
  <c r="I129" i="24"/>
  <c r="B124" i="40"/>
  <c r="F124" i="40"/>
  <c r="B128" i="28"/>
  <c r="F128" i="28"/>
  <c r="B128" i="29"/>
  <c r="F128" i="29"/>
  <c r="H126" i="30"/>
  <c r="I126" i="30"/>
  <c r="I124" i="39"/>
  <c r="H124" i="39"/>
  <c r="B125" i="37"/>
  <c r="F125" i="37"/>
  <c r="I124" i="43"/>
  <c r="H124" i="43"/>
  <c r="B131" i="23"/>
  <c r="F131" i="23"/>
  <c r="H135" i="7"/>
  <c r="I135" i="7"/>
  <c r="B129" i="27"/>
  <c r="F129" i="27"/>
  <c r="H123" i="40"/>
  <c r="I123" i="40"/>
  <c r="B136" i="10"/>
  <c r="F136" i="10"/>
  <c r="H127" i="28"/>
  <c r="I127" i="28"/>
  <c r="H140" i="49" l="1"/>
  <c r="I140" i="49"/>
  <c r="E138" i="48"/>
  <c r="F138" i="48" s="1"/>
  <c r="B126" i="57"/>
  <c r="F126" i="57"/>
  <c r="H125" i="57"/>
  <c r="I125" i="57"/>
  <c r="J125" i="57" s="1"/>
  <c r="H137" i="48"/>
  <c r="I137" i="48"/>
  <c r="E141" i="49"/>
  <c r="F141" i="49" s="1"/>
  <c r="B141" i="49"/>
  <c r="J130" i="13"/>
  <c r="J155" i="13" s="1"/>
  <c r="G131" i="13"/>
  <c r="D132" i="13"/>
  <c r="E128" i="55"/>
  <c r="F128" i="55" s="1"/>
  <c r="G128" i="55" s="1"/>
  <c r="J125" i="54"/>
  <c r="G126" i="54"/>
  <c r="D127" i="54"/>
  <c r="B127" i="54" s="1"/>
  <c r="J127" i="55"/>
  <c r="J125" i="46"/>
  <c r="I125" i="47"/>
  <c r="H125" i="47"/>
  <c r="G126" i="46"/>
  <c r="D127" i="46"/>
  <c r="E127" i="46"/>
  <c r="F126" i="47"/>
  <c r="B126" i="47"/>
  <c r="J125" i="45"/>
  <c r="D127" i="45"/>
  <c r="B127" i="45" s="1"/>
  <c r="G126" i="45"/>
  <c r="E127" i="45"/>
  <c r="E131" i="44"/>
  <c r="F131" i="44" s="1"/>
  <c r="H127" i="42"/>
  <c r="J127" i="42" s="1"/>
  <c r="D129" i="38"/>
  <c r="B129" i="38" s="1"/>
  <c r="I130" i="44"/>
  <c r="H130" i="44"/>
  <c r="D129" i="42"/>
  <c r="B129" i="42" s="1"/>
  <c r="G128" i="42"/>
  <c r="I128" i="42" s="1"/>
  <c r="D128" i="41"/>
  <c r="B128" i="41" s="1"/>
  <c r="E129" i="42"/>
  <c r="H127" i="41"/>
  <c r="I127" i="41"/>
  <c r="J126" i="41"/>
  <c r="H128" i="38"/>
  <c r="I128" i="38"/>
  <c r="J127" i="38"/>
  <c r="J124" i="39"/>
  <c r="J132" i="4"/>
  <c r="J124" i="43"/>
  <c r="J132" i="3"/>
  <c r="J124" i="37"/>
  <c r="J127" i="29"/>
  <c r="J133" i="8"/>
  <c r="J127" i="28"/>
  <c r="J123" i="40"/>
  <c r="J135" i="7"/>
  <c r="G128" i="29"/>
  <c r="D129" i="29"/>
  <c r="E129" i="29" s="1"/>
  <c r="G124" i="40"/>
  <c r="D125" i="40"/>
  <c r="E125" i="40" s="1"/>
  <c r="G136" i="7"/>
  <c r="D137" i="7"/>
  <c r="E137" i="7" s="1"/>
  <c r="G125" i="43"/>
  <c r="D126" i="43"/>
  <c r="E126" i="43"/>
  <c r="J127" i="31"/>
  <c r="G127" i="30"/>
  <c r="D128" i="30"/>
  <c r="E128" i="30"/>
  <c r="G130" i="24"/>
  <c r="D131" i="24"/>
  <c r="E131" i="24" s="1"/>
  <c r="G128" i="31"/>
  <c r="D129" i="31"/>
  <c r="E129" i="31"/>
  <c r="G133" i="5"/>
  <c r="D134" i="5"/>
  <c r="E134" i="5" s="1"/>
  <c r="J128" i="27"/>
  <c r="J130" i="23"/>
  <c r="J155" i="23" s="1"/>
  <c r="G133" i="4"/>
  <c r="D134" i="4"/>
  <c r="E134" i="4"/>
  <c r="G135" i="9"/>
  <c r="D136" i="9"/>
  <c r="E136" i="9" s="1"/>
  <c r="D136" i="11"/>
  <c r="G135" i="11"/>
  <c r="E136" i="11"/>
  <c r="G136" i="10"/>
  <c r="D137" i="10"/>
  <c r="E137" i="10"/>
  <c r="G129" i="27"/>
  <c r="D130" i="27"/>
  <c r="E130" i="27" s="1"/>
  <c r="G131" i="23"/>
  <c r="D132" i="23"/>
  <c r="E132" i="23" s="1"/>
  <c r="G125" i="37"/>
  <c r="D126" i="37"/>
  <c r="E126" i="37" s="1"/>
  <c r="J126" i="30"/>
  <c r="G128" i="28"/>
  <c r="D129" i="28"/>
  <c r="E129" i="28" s="1"/>
  <c r="J129" i="24"/>
  <c r="J133" i="6"/>
  <c r="G132" i="25"/>
  <c r="D133" i="25"/>
  <c r="E133" i="25" s="1"/>
  <c r="G125" i="39"/>
  <c r="D126" i="39"/>
  <c r="E126" i="39" s="1"/>
  <c r="G134" i="6"/>
  <c r="D135" i="6"/>
  <c r="E135" i="6"/>
  <c r="J131" i="25"/>
  <c r="G132" i="22"/>
  <c r="D133" i="22"/>
  <c r="E133" i="22"/>
  <c r="J135" i="10"/>
  <c r="G133" i="3"/>
  <c r="D134" i="3"/>
  <c r="E134" i="3"/>
  <c r="G134" i="8"/>
  <c r="D135" i="8"/>
  <c r="E135" i="8"/>
  <c r="J132" i="5"/>
  <c r="D127" i="57" l="1"/>
  <c r="B127" i="57" s="1"/>
  <c r="E127" i="57"/>
  <c r="G126" i="57"/>
  <c r="D139" i="48"/>
  <c r="B139" i="48" s="1"/>
  <c r="G138" i="48"/>
  <c r="E139" i="48"/>
  <c r="F139" i="48" s="1"/>
  <c r="G141" i="49"/>
  <c r="D142" i="49"/>
  <c r="B142" i="49" s="1"/>
  <c r="E132" i="13"/>
  <c r="F132" i="13" s="1"/>
  <c r="B132" i="13"/>
  <c r="I131" i="13"/>
  <c r="H131" i="13"/>
  <c r="D129" i="55"/>
  <c r="B129" i="55" s="1"/>
  <c r="H126" i="54"/>
  <c r="I126" i="54"/>
  <c r="J126" i="54" s="1"/>
  <c r="F127" i="54"/>
  <c r="I128" i="55"/>
  <c r="H128" i="55"/>
  <c r="J125" i="47"/>
  <c r="I126" i="46"/>
  <c r="H126" i="46"/>
  <c r="G126" i="47"/>
  <c r="D127" i="47"/>
  <c r="E127" i="47" s="1"/>
  <c r="B127" i="46"/>
  <c r="F127" i="46"/>
  <c r="F127" i="45"/>
  <c r="D128" i="45" s="1"/>
  <c r="H126" i="45"/>
  <c r="I126" i="45"/>
  <c r="D132" i="44"/>
  <c r="B132" i="44" s="1"/>
  <c r="G131" i="44"/>
  <c r="I131" i="44" s="1"/>
  <c r="H128" i="42"/>
  <c r="J128" i="42" s="1"/>
  <c r="E129" i="38"/>
  <c r="F129" i="38" s="1"/>
  <c r="G129" i="38" s="1"/>
  <c r="E128" i="41"/>
  <c r="F128" i="41" s="1"/>
  <c r="G128" i="41" s="1"/>
  <c r="I128" i="41" s="1"/>
  <c r="F129" i="42"/>
  <c r="G129" i="42" s="1"/>
  <c r="J130" i="44"/>
  <c r="J155" i="44" s="1"/>
  <c r="E132" i="44"/>
  <c r="J128" i="38"/>
  <c r="J127" i="41"/>
  <c r="B135" i="8"/>
  <c r="F135" i="8"/>
  <c r="H133" i="3"/>
  <c r="I133" i="3"/>
  <c r="I132" i="22"/>
  <c r="H132" i="22"/>
  <c r="H134" i="6"/>
  <c r="I134" i="6"/>
  <c r="B130" i="27"/>
  <c r="F130" i="27"/>
  <c r="H136" i="10"/>
  <c r="I136" i="10"/>
  <c r="B134" i="4"/>
  <c r="F134" i="4"/>
  <c r="B129" i="31"/>
  <c r="F129" i="31"/>
  <c r="H130" i="24"/>
  <c r="I130" i="24"/>
  <c r="B125" i="40"/>
  <c r="F125" i="40"/>
  <c r="I128" i="29"/>
  <c r="H128" i="29"/>
  <c r="H134" i="8"/>
  <c r="I134" i="8"/>
  <c r="B133" i="25"/>
  <c r="F133" i="25"/>
  <c r="B132" i="23"/>
  <c r="F132" i="23"/>
  <c r="H129" i="27"/>
  <c r="I129" i="27"/>
  <c r="B136" i="9"/>
  <c r="F136" i="9"/>
  <c r="H133" i="4"/>
  <c r="I133" i="4"/>
  <c r="B134" i="5"/>
  <c r="F134" i="5"/>
  <c r="H128" i="31"/>
  <c r="I128" i="31"/>
  <c r="B137" i="7"/>
  <c r="F137" i="7"/>
  <c r="H124" i="40"/>
  <c r="I124" i="40"/>
  <c r="B126" i="39"/>
  <c r="F126" i="39"/>
  <c r="H132" i="25"/>
  <c r="I132" i="25"/>
  <c r="B129" i="28"/>
  <c r="F129" i="28"/>
  <c r="B126" i="37"/>
  <c r="F126" i="37"/>
  <c r="I131" i="23"/>
  <c r="H131" i="23"/>
  <c r="I135" i="11"/>
  <c r="H135" i="11"/>
  <c r="I135" i="9"/>
  <c r="H135" i="9"/>
  <c r="H133" i="5"/>
  <c r="I133" i="5"/>
  <c r="B128" i="30"/>
  <c r="F128" i="30"/>
  <c r="B126" i="43"/>
  <c r="F126" i="43"/>
  <c r="H136" i="7"/>
  <c r="I136" i="7"/>
  <c r="B134" i="3"/>
  <c r="F134" i="3"/>
  <c r="B133" i="22"/>
  <c r="F133" i="22"/>
  <c r="B135" i="6"/>
  <c r="F135" i="6"/>
  <c r="H125" i="39"/>
  <c r="I125" i="39"/>
  <c r="H128" i="28"/>
  <c r="I128" i="28"/>
  <c r="H125" i="37"/>
  <c r="I125" i="37"/>
  <c r="B137" i="10"/>
  <c r="F137" i="10"/>
  <c r="B136" i="11"/>
  <c r="F136" i="11"/>
  <c r="B131" i="24"/>
  <c r="F131" i="24"/>
  <c r="H127" i="30"/>
  <c r="I127" i="30"/>
  <c r="I125" i="43"/>
  <c r="H125" i="43"/>
  <c r="B129" i="29"/>
  <c r="F129" i="29"/>
  <c r="H126" i="57" l="1"/>
  <c r="I126" i="57"/>
  <c r="D140" i="48"/>
  <c r="B140" i="48" s="1"/>
  <c r="G139" i="48"/>
  <c r="E140" i="48"/>
  <c r="F140" i="48" s="1"/>
  <c r="F127" i="57"/>
  <c r="I141" i="49"/>
  <c r="H141" i="49"/>
  <c r="I138" i="48"/>
  <c r="H138" i="48"/>
  <c r="E142" i="49"/>
  <c r="F142" i="49" s="1"/>
  <c r="G132" i="13"/>
  <c r="D133" i="13"/>
  <c r="E129" i="55"/>
  <c r="F129" i="55" s="1"/>
  <c r="D130" i="55" s="1"/>
  <c r="B130" i="55" s="1"/>
  <c r="E128" i="54"/>
  <c r="D128" i="54"/>
  <c r="G127" i="54"/>
  <c r="J128" i="55"/>
  <c r="B127" i="47"/>
  <c r="F127" i="47"/>
  <c r="D128" i="46"/>
  <c r="G127" i="46"/>
  <c r="E128" i="46"/>
  <c r="I126" i="47"/>
  <c r="H126" i="47"/>
  <c r="J126" i="46"/>
  <c r="E128" i="45"/>
  <c r="F128" i="45" s="1"/>
  <c r="J126" i="45"/>
  <c r="G127" i="45"/>
  <c r="I127" i="45" s="1"/>
  <c r="H131" i="44"/>
  <c r="B128" i="45"/>
  <c r="F132" i="44"/>
  <c r="G132" i="44" s="1"/>
  <c r="D130" i="38"/>
  <c r="B130" i="38" s="1"/>
  <c r="D130" i="42"/>
  <c r="B130" i="42" s="1"/>
  <c r="D129" i="41"/>
  <c r="B129" i="41" s="1"/>
  <c r="H128" i="41"/>
  <c r="J128" i="41" s="1"/>
  <c r="E129" i="41"/>
  <c r="H129" i="38"/>
  <c r="I129" i="38"/>
  <c r="E130" i="42"/>
  <c r="I129" i="42"/>
  <c r="H129" i="42"/>
  <c r="E130" i="38"/>
  <c r="J136" i="10"/>
  <c r="J134" i="6"/>
  <c r="J133" i="3"/>
  <c r="J128" i="28"/>
  <c r="J133" i="5"/>
  <c r="J132" i="25"/>
  <c r="J155" i="25" s="1"/>
  <c r="J124" i="40"/>
  <c r="J128" i="31"/>
  <c r="J133" i="4"/>
  <c r="J129" i="27"/>
  <c r="J130" i="24"/>
  <c r="J155" i="24" s="1"/>
  <c r="G131" i="24"/>
  <c r="D132" i="24"/>
  <c r="E132" i="24"/>
  <c r="D135" i="3"/>
  <c r="E135" i="3" s="1"/>
  <c r="G134" i="3"/>
  <c r="G126" i="37"/>
  <c r="D127" i="37"/>
  <c r="E127" i="37"/>
  <c r="G129" i="29"/>
  <c r="D130" i="29"/>
  <c r="E130" i="29"/>
  <c r="J127" i="30"/>
  <c r="G136" i="11"/>
  <c r="D137" i="11"/>
  <c r="E137" i="11"/>
  <c r="J125" i="37"/>
  <c r="J125" i="39"/>
  <c r="G133" i="22"/>
  <c r="D134" i="22"/>
  <c r="E134" i="22"/>
  <c r="J136" i="7"/>
  <c r="G128" i="30"/>
  <c r="D129" i="30"/>
  <c r="E129" i="30"/>
  <c r="G129" i="28"/>
  <c r="D130" i="28"/>
  <c r="E130" i="28"/>
  <c r="G126" i="39"/>
  <c r="D127" i="39"/>
  <c r="E127" i="39" s="1"/>
  <c r="G137" i="7"/>
  <c r="D138" i="7"/>
  <c r="E138" i="7" s="1"/>
  <c r="G134" i="5"/>
  <c r="D135" i="5"/>
  <c r="E135" i="5" s="1"/>
  <c r="G136" i="9"/>
  <c r="D137" i="9"/>
  <c r="E137" i="9"/>
  <c r="G132" i="23"/>
  <c r="D133" i="23"/>
  <c r="E133" i="23"/>
  <c r="J134" i="8"/>
  <c r="G125" i="40"/>
  <c r="D126" i="40"/>
  <c r="E126" i="40"/>
  <c r="G129" i="31"/>
  <c r="D130" i="31"/>
  <c r="E130" i="31" s="1"/>
  <c r="G137" i="10"/>
  <c r="D138" i="10"/>
  <c r="E138" i="10"/>
  <c r="G135" i="6"/>
  <c r="D136" i="6"/>
  <c r="E136" i="6"/>
  <c r="G126" i="43"/>
  <c r="D127" i="43"/>
  <c r="E127" i="43"/>
  <c r="G134" i="4"/>
  <c r="D135" i="4"/>
  <c r="E135" i="4" s="1"/>
  <c r="G130" i="27"/>
  <c r="D131" i="27"/>
  <c r="E131" i="27"/>
  <c r="G135" i="8"/>
  <c r="D136" i="8"/>
  <c r="E136" i="8"/>
  <c r="G133" i="25"/>
  <c r="D134" i="25"/>
  <c r="E134" i="25" s="1"/>
  <c r="J125" i="43"/>
  <c r="J128" i="29"/>
  <c r="H139" i="48" l="1"/>
  <c r="I139" i="48"/>
  <c r="D143" i="49"/>
  <c r="B143" i="49" s="1"/>
  <c r="G142" i="49"/>
  <c r="G140" i="48"/>
  <c r="D141" i="48"/>
  <c r="J126" i="57"/>
  <c r="E128" i="57"/>
  <c r="D128" i="57"/>
  <c r="G127" i="57"/>
  <c r="B133" i="13"/>
  <c r="E133" i="13"/>
  <c r="F133" i="13" s="1"/>
  <c r="I132" i="13"/>
  <c r="H132" i="13"/>
  <c r="G129" i="55"/>
  <c r="E130" i="55"/>
  <c r="F130" i="55" s="1"/>
  <c r="G130" i="55" s="1"/>
  <c r="H130" i="55" s="1"/>
  <c r="H127" i="54"/>
  <c r="I127" i="54"/>
  <c r="B128" i="54"/>
  <c r="F128" i="54"/>
  <c r="D131" i="55"/>
  <c r="B131" i="55" s="1"/>
  <c r="I127" i="46"/>
  <c r="H127" i="46"/>
  <c r="B128" i="46"/>
  <c r="F128" i="46"/>
  <c r="J126" i="47"/>
  <c r="G127" i="47"/>
  <c r="D128" i="47"/>
  <c r="E128" i="47" s="1"/>
  <c r="H127" i="45"/>
  <c r="J127" i="45" s="1"/>
  <c r="D133" i="44"/>
  <c r="B133" i="44" s="1"/>
  <c r="F130" i="38"/>
  <c r="G130" i="38" s="1"/>
  <c r="E133" i="44"/>
  <c r="D129" i="45"/>
  <c r="E129" i="45"/>
  <c r="G128" i="45"/>
  <c r="F130" i="42"/>
  <c r="D131" i="42" s="1"/>
  <c r="B131" i="42" s="1"/>
  <c r="F129" i="41"/>
  <c r="D130" i="41" s="1"/>
  <c r="B130" i="41" s="1"/>
  <c r="J129" i="38"/>
  <c r="I132" i="44"/>
  <c r="H132" i="44"/>
  <c r="J129" i="42"/>
  <c r="I134" i="4"/>
  <c r="H134" i="4"/>
  <c r="B138" i="10"/>
  <c r="F138" i="10"/>
  <c r="I129" i="31"/>
  <c r="H129" i="31"/>
  <c r="B135" i="5"/>
  <c r="F135" i="5"/>
  <c r="H137" i="7"/>
  <c r="I137" i="7"/>
  <c r="B129" i="30"/>
  <c r="F129" i="30"/>
  <c r="B134" i="22"/>
  <c r="F134" i="22"/>
  <c r="B127" i="37"/>
  <c r="F127" i="37"/>
  <c r="B135" i="3"/>
  <c r="F135" i="3"/>
  <c r="B136" i="8"/>
  <c r="F136" i="8"/>
  <c r="H130" i="27"/>
  <c r="I130" i="27"/>
  <c r="B136" i="6"/>
  <c r="F136" i="6"/>
  <c r="I137" i="10"/>
  <c r="H137" i="10"/>
  <c r="B137" i="9"/>
  <c r="F137" i="9"/>
  <c r="H134" i="5"/>
  <c r="I134" i="5"/>
  <c r="B130" i="28"/>
  <c r="F130" i="28"/>
  <c r="H128" i="30"/>
  <c r="I128" i="30"/>
  <c r="H133" i="22"/>
  <c r="I133" i="22"/>
  <c r="B137" i="11"/>
  <c r="F137" i="11"/>
  <c r="B130" i="29"/>
  <c r="F130" i="29"/>
  <c r="I126" i="37"/>
  <c r="H126" i="37"/>
  <c r="H135" i="8"/>
  <c r="I135" i="8"/>
  <c r="B127" i="43"/>
  <c r="F127" i="43"/>
  <c r="H135" i="6"/>
  <c r="I135" i="6"/>
  <c r="B126" i="40"/>
  <c r="F126" i="40"/>
  <c r="B133" i="23"/>
  <c r="F133" i="23"/>
  <c r="H136" i="9"/>
  <c r="I136" i="9"/>
  <c r="B127" i="39"/>
  <c r="F127" i="39"/>
  <c r="H129" i="28"/>
  <c r="I129" i="28"/>
  <c r="H136" i="11"/>
  <c r="I136" i="11"/>
  <c r="H129" i="29"/>
  <c r="I129" i="29"/>
  <c r="B132" i="24"/>
  <c r="F132" i="24"/>
  <c r="B131" i="27"/>
  <c r="F131" i="27"/>
  <c r="B134" i="25"/>
  <c r="F134" i="25"/>
  <c r="H133" i="25"/>
  <c r="I133" i="25"/>
  <c r="B135" i="4"/>
  <c r="F135" i="4"/>
  <c r="H126" i="43"/>
  <c r="I126" i="43"/>
  <c r="B130" i="31"/>
  <c r="F130" i="31"/>
  <c r="I125" i="40"/>
  <c r="H125" i="40"/>
  <c r="I132" i="23"/>
  <c r="H132" i="23"/>
  <c r="B138" i="7"/>
  <c r="F138" i="7"/>
  <c r="H126" i="39"/>
  <c r="I126" i="39"/>
  <c r="H134" i="3"/>
  <c r="I134" i="3"/>
  <c r="H131" i="24"/>
  <c r="I131" i="24"/>
  <c r="E143" i="49" l="1"/>
  <c r="F143" i="49" s="1"/>
  <c r="E141" i="48"/>
  <c r="F141" i="48" s="1"/>
  <c r="B141" i="48"/>
  <c r="I142" i="49"/>
  <c r="H142" i="49"/>
  <c r="I127" i="57"/>
  <c r="H127" i="57"/>
  <c r="J127" i="57" s="1"/>
  <c r="I140" i="48"/>
  <c r="H140" i="48"/>
  <c r="B128" i="57"/>
  <c r="F128" i="57"/>
  <c r="I130" i="55"/>
  <c r="J130" i="55" s="1"/>
  <c r="E131" i="55"/>
  <c r="G133" i="13"/>
  <c r="D134" i="13"/>
  <c r="E134" i="13"/>
  <c r="I129" i="55"/>
  <c r="H129" i="55"/>
  <c r="D129" i="54"/>
  <c r="B129" i="54" s="1"/>
  <c r="G128" i="54"/>
  <c r="E129" i="54"/>
  <c r="F129" i="54" s="1"/>
  <c r="G129" i="54" s="1"/>
  <c r="J127" i="54"/>
  <c r="F131" i="55"/>
  <c r="G131" i="55" s="1"/>
  <c r="D131" i="38"/>
  <c r="B131" i="38" s="1"/>
  <c r="D129" i="46"/>
  <c r="G128" i="46"/>
  <c r="E129" i="46"/>
  <c r="B128" i="47"/>
  <c r="F128" i="47"/>
  <c r="H127" i="47"/>
  <c r="I127" i="47"/>
  <c r="J127" i="46"/>
  <c r="F133" i="44"/>
  <c r="D134" i="44" s="1"/>
  <c r="B134" i="44" s="1"/>
  <c r="G130" i="42"/>
  <c r="H130" i="42" s="1"/>
  <c r="F129" i="45"/>
  <c r="B129" i="45"/>
  <c r="E131" i="42"/>
  <c r="F131" i="42" s="1"/>
  <c r="H128" i="45"/>
  <c r="I128" i="45"/>
  <c r="G129" i="41"/>
  <c r="E130" i="41"/>
  <c r="F130" i="41" s="1"/>
  <c r="D131" i="41" s="1"/>
  <c r="B131" i="41" s="1"/>
  <c r="E131" i="38"/>
  <c r="I130" i="38"/>
  <c r="H130" i="38"/>
  <c r="J137" i="7"/>
  <c r="J125" i="40"/>
  <c r="J128" i="30"/>
  <c r="J134" i="5"/>
  <c r="J126" i="39"/>
  <c r="G130" i="31"/>
  <c r="D131" i="31"/>
  <c r="E131" i="31" s="1"/>
  <c r="G135" i="4"/>
  <c r="D136" i="4"/>
  <c r="E136" i="4" s="1"/>
  <c r="G134" i="25"/>
  <c r="D135" i="25"/>
  <c r="E135" i="25" s="1"/>
  <c r="D133" i="24"/>
  <c r="G132" i="24"/>
  <c r="E133" i="24"/>
  <c r="G127" i="39"/>
  <c r="D128" i="39"/>
  <c r="E128" i="39" s="1"/>
  <c r="G133" i="23"/>
  <c r="D134" i="23"/>
  <c r="E134" i="23"/>
  <c r="J135" i="6"/>
  <c r="J135" i="8"/>
  <c r="G130" i="29"/>
  <c r="D131" i="29"/>
  <c r="E131" i="29" s="1"/>
  <c r="G130" i="28"/>
  <c r="D131" i="28"/>
  <c r="E131" i="28"/>
  <c r="D138" i="9"/>
  <c r="E138" i="9" s="1"/>
  <c r="G137" i="9"/>
  <c r="G136" i="6"/>
  <c r="D137" i="6"/>
  <c r="E137" i="6"/>
  <c r="G136" i="8"/>
  <c r="D137" i="8"/>
  <c r="E137" i="8" s="1"/>
  <c r="G127" i="37"/>
  <c r="D128" i="37"/>
  <c r="E128" i="37" s="1"/>
  <c r="G129" i="30"/>
  <c r="D130" i="30"/>
  <c r="E130" i="30" s="1"/>
  <c r="G135" i="5"/>
  <c r="D136" i="5"/>
  <c r="E136" i="5" s="1"/>
  <c r="G138" i="10"/>
  <c r="D139" i="10"/>
  <c r="E139" i="10" s="1"/>
  <c r="J134" i="3"/>
  <c r="G138" i="7"/>
  <c r="D139" i="7"/>
  <c r="E139" i="7" s="1"/>
  <c r="J126" i="43"/>
  <c r="G131" i="27"/>
  <c r="D132" i="27"/>
  <c r="E132" i="27" s="1"/>
  <c r="J129" i="29"/>
  <c r="J129" i="28"/>
  <c r="G126" i="40"/>
  <c r="D127" i="40"/>
  <c r="E127" i="40"/>
  <c r="G127" i="43"/>
  <c r="D128" i="43"/>
  <c r="E128" i="43" s="1"/>
  <c r="D138" i="11"/>
  <c r="E138" i="11" s="1"/>
  <c r="G137" i="11"/>
  <c r="J130" i="27"/>
  <c r="G135" i="3"/>
  <c r="D136" i="3"/>
  <c r="E136" i="3"/>
  <c r="G134" i="22"/>
  <c r="D135" i="22"/>
  <c r="E135" i="22" s="1"/>
  <c r="J126" i="37"/>
  <c r="J137" i="10"/>
  <c r="J129" i="31"/>
  <c r="J134" i="4"/>
  <c r="D130" i="54" l="1"/>
  <c r="G128" i="57"/>
  <c r="E129" i="57"/>
  <c r="D129" i="57"/>
  <c r="B129" i="57" s="1"/>
  <c r="G141" i="48"/>
  <c r="D142" i="48"/>
  <c r="B142" i="48" s="1"/>
  <c r="E142" i="48"/>
  <c r="F142" i="48" s="1"/>
  <c r="D144" i="49"/>
  <c r="B144" i="49" s="1"/>
  <c r="G143" i="49"/>
  <c r="B134" i="13"/>
  <c r="F134" i="13"/>
  <c r="I133" i="13"/>
  <c r="H133" i="13"/>
  <c r="J129" i="55"/>
  <c r="J155" i="55" s="1"/>
  <c r="D132" i="55"/>
  <c r="B132" i="55" s="1"/>
  <c r="I128" i="54"/>
  <c r="H128" i="54"/>
  <c r="F131" i="38"/>
  <c r="G131" i="38" s="1"/>
  <c r="I131" i="38" s="1"/>
  <c r="I129" i="54"/>
  <c r="H129" i="54"/>
  <c r="E130" i="54"/>
  <c r="F130" i="54" s="1"/>
  <c r="B130" i="54"/>
  <c r="H131" i="55"/>
  <c r="I131" i="55"/>
  <c r="J127" i="47"/>
  <c r="I128" i="46"/>
  <c r="H128" i="46"/>
  <c r="D129" i="47"/>
  <c r="E129" i="47" s="1"/>
  <c r="G128" i="47"/>
  <c r="B129" i="46"/>
  <c r="F129" i="46"/>
  <c r="G133" i="44"/>
  <c r="I133" i="44" s="1"/>
  <c r="I130" i="42"/>
  <c r="J130" i="42" s="1"/>
  <c r="J155" i="42" s="1"/>
  <c r="E134" i="44"/>
  <c r="F134" i="44" s="1"/>
  <c r="D135" i="44" s="1"/>
  <c r="B135" i="44" s="1"/>
  <c r="J128" i="45"/>
  <c r="E130" i="45"/>
  <c r="D130" i="45"/>
  <c r="B130" i="45" s="1"/>
  <c r="G129" i="45"/>
  <c r="E131" i="41"/>
  <c r="F131" i="41" s="1"/>
  <c r="D132" i="41" s="1"/>
  <c r="B132" i="41" s="1"/>
  <c r="G130" i="41"/>
  <c r="I130" i="41" s="1"/>
  <c r="I129" i="41"/>
  <c r="H129" i="41"/>
  <c r="J130" i="38"/>
  <c r="J155" i="38" s="1"/>
  <c r="G131" i="42"/>
  <c r="D132" i="42"/>
  <c r="B136" i="3"/>
  <c r="F136" i="3"/>
  <c r="H127" i="43"/>
  <c r="I127" i="43"/>
  <c r="H131" i="27"/>
  <c r="I131" i="27"/>
  <c r="B128" i="37"/>
  <c r="F128" i="37"/>
  <c r="H136" i="8"/>
  <c r="I136" i="8"/>
  <c r="B134" i="23"/>
  <c r="F134" i="23"/>
  <c r="I127" i="39"/>
  <c r="H127" i="39"/>
  <c r="B135" i="22"/>
  <c r="F135" i="22"/>
  <c r="H135" i="3"/>
  <c r="I135" i="3"/>
  <c r="B130" i="30"/>
  <c r="F130" i="30"/>
  <c r="H137" i="9"/>
  <c r="I137" i="9"/>
  <c r="H133" i="23"/>
  <c r="I133" i="23"/>
  <c r="B135" i="25"/>
  <c r="F135" i="25"/>
  <c r="I135" i="4"/>
  <c r="H135" i="4"/>
  <c r="I134" i="22"/>
  <c r="H134" i="22"/>
  <c r="B127" i="40"/>
  <c r="F127" i="40"/>
  <c r="B136" i="5"/>
  <c r="F136" i="5"/>
  <c r="H129" i="30"/>
  <c r="I129" i="30"/>
  <c r="B137" i="6"/>
  <c r="F137" i="6"/>
  <c r="B138" i="9"/>
  <c r="F138" i="9"/>
  <c r="H132" i="24"/>
  <c r="I132" i="24"/>
  <c r="I134" i="25"/>
  <c r="H134" i="25"/>
  <c r="I137" i="11"/>
  <c r="H137" i="11"/>
  <c r="H138" i="7"/>
  <c r="I138" i="7"/>
  <c r="H138" i="10"/>
  <c r="I138" i="10"/>
  <c r="B131" i="28"/>
  <c r="F131" i="28"/>
  <c r="H130" i="29"/>
  <c r="I130" i="29"/>
  <c r="B136" i="4"/>
  <c r="F136" i="4"/>
  <c r="H130" i="31"/>
  <c r="I130" i="31"/>
  <c r="B138" i="11"/>
  <c r="F138" i="11"/>
  <c r="H127" i="37"/>
  <c r="I127" i="37"/>
  <c r="H130" i="28"/>
  <c r="I130" i="28"/>
  <c r="B128" i="43"/>
  <c r="F128" i="43"/>
  <c r="H126" i="40"/>
  <c r="I126" i="40"/>
  <c r="B132" i="27"/>
  <c r="F132" i="27"/>
  <c r="B139" i="7"/>
  <c r="F139" i="7"/>
  <c r="B139" i="10"/>
  <c r="F139" i="10"/>
  <c r="I135" i="5"/>
  <c r="H135" i="5"/>
  <c r="B137" i="8"/>
  <c r="F137" i="8"/>
  <c r="H136" i="6"/>
  <c r="I136" i="6"/>
  <c r="B131" i="29"/>
  <c r="F131" i="29"/>
  <c r="B128" i="39"/>
  <c r="F128" i="39"/>
  <c r="B133" i="24"/>
  <c r="F133" i="24"/>
  <c r="B131" i="31"/>
  <c r="F131" i="31"/>
  <c r="H141" i="48" l="1"/>
  <c r="I141" i="48"/>
  <c r="G142" i="48"/>
  <c r="D143" i="48"/>
  <c r="B143" i="48" s="1"/>
  <c r="F129" i="57"/>
  <c r="E144" i="49"/>
  <c r="F144" i="49" s="1"/>
  <c r="H128" i="57"/>
  <c r="I128" i="57"/>
  <c r="H143" i="49"/>
  <c r="I143" i="49"/>
  <c r="D135" i="13"/>
  <c r="G134" i="13"/>
  <c r="E132" i="55"/>
  <c r="F132" i="55" s="1"/>
  <c r="D132" i="38"/>
  <c r="B132" i="38" s="1"/>
  <c r="J128" i="54"/>
  <c r="D131" i="54"/>
  <c r="G130" i="54"/>
  <c r="J129" i="54"/>
  <c r="G132" i="55"/>
  <c r="D133" i="55"/>
  <c r="H133" i="44"/>
  <c r="J128" i="46"/>
  <c r="G129" i="46"/>
  <c r="D130" i="46"/>
  <c r="E130" i="46"/>
  <c r="B129" i="47"/>
  <c r="F129" i="47"/>
  <c r="H128" i="47"/>
  <c r="I128" i="47"/>
  <c r="H130" i="41"/>
  <c r="J130" i="41" s="1"/>
  <c r="E135" i="44"/>
  <c r="F135" i="44" s="1"/>
  <c r="D136" i="44" s="1"/>
  <c r="B136" i="44" s="1"/>
  <c r="G134" i="44"/>
  <c r="H134" i="44" s="1"/>
  <c r="F130" i="45"/>
  <c r="I129" i="45"/>
  <c r="H129" i="45"/>
  <c r="J129" i="41"/>
  <c r="H131" i="38"/>
  <c r="E132" i="38"/>
  <c r="G131" i="41"/>
  <c r="H131" i="41" s="1"/>
  <c r="E132" i="41"/>
  <c r="F132" i="41" s="1"/>
  <c r="G132" i="41" s="1"/>
  <c r="E132" i="42"/>
  <c r="F132" i="42" s="1"/>
  <c r="B132" i="42"/>
  <c r="H131" i="42"/>
  <c r="I131" i="42"/>
  <c r="J127" i="43"/>
  <c r="J136" i="6"/>
  <c r="J126" i="40"/>
  <c r="J130" i="28"/>
  <c r="J138" i="7"/>
  <c r="J129" i="30"/>
  <c r="J127" i="39"/>
  <c r="G139" i="7"/>
  <c r="D140" i="7"/>
  <c r="E140" i="7" s="1"/>
  <c r="G138" i="11"/>
  <c r="D139" i="11"/>
  <c r="E139" i="11" s="1"/>
  <c r="G136" i="4"/>
  <c r="D137" i="4"/>
  <c r="E137" i="4"/>
  <c r="G131" i="28"/>
  <c r="D132" i="28"/>
  <c r="E132" i="28"/>
  <c r="G138" i="9"/>
  <c r="D139" i="9"/>
  <c r="E139" i="9" s="1"/>
  <c r="G127" i="40"/>
  <c r="D128" i="40"/>
  <c r="E128" i="40"/>
  <c r="G130" i="30"/>
  <c r="D131" i="30"/>
  <c r="E131" i="30"/>
  <c r="G135" i="22"/>
  <c r="D136" i="22"/>
  <c r="E136" i="22"/>
  <c r="G134" i="23"/>
  <c r="D135" i="23"/>
  <c r="E135" i="23" s="1"/>
  <c r="G128" i="37"/>
  <c r="D129" i="37"/>
  <c r="E129" i="37"/>
  <c r="G131" i="31"/>
  <c r="D132" i="31"/>
  <c r="E132" i="31"/>
  <c r="G128" i="39"/>
  <c r="D129" i="39"/>
  <c r="E129" i="39" s="1"/>
  <c r="J135" i="5"/>
  <c r="J135" i="4"/>
  <c r="G133" i="24"/>
  <c r="D134" i="24"/>
  <c r="E134" i="24" s="1"/>
  <c r="G131" i="29"/>
  <c r="D132" i="29"/>
  <c r="E132" i="29" s="1"/>
  <c r="G137" i="8"/>
  <c r="D138" i="8"/>
  <c r="E138" i="8" s="1"/>
  <c r="G139" i="10"/>
  <c r="D140" i="10"/>
  <c r="E140" i="10" s="1"/>
  <c r="G132" i="27"/>
  <c r="D133" i="27"/>
  <c r="E133" i="27" s="1"/>
  <c r="G128" i="43"/>
  <c r="D129" i="43"/>
  <c r="E129" i="43"/>
  <c r="J127" i="37"/>
  <c r="J130" i="31"/>
  <c r="J130" i="29"/>
  <c r="J138" i="10"/>
  <c r="G137" i="6"/>
  <c r="D138" i="6"/>
  <c r="E138" i="6" s="1"/>
  <c r="G136" i="5"/>
  <c r="D137" i="5"/>
  <c r="E137" i="5" s="1"/>
  <c r="G135" i="25"/>
  <c r="D136" i="25"/>
  <c r="E136" i="25"/>
  <c r="J135" i="3"/>
  <c r="J136" i="8"/>
  <c r="J131" i="27"/>
  <c r="G136" i="3"/>
  <c r="D137" i="3"/>
  <c r="E137" i="3" s="1"/>
  <c r="D145" i="49" l="1"/>
  <c r="B145" i="49" s="1"/>
  <c r="G144" i="49"/>
  <c r="E145" i="49"/>
  <c r="F145" i="49" s="1"/>
  <c r="D130" i="57"/>
  <c r="B130" i="57" s="1"/>
  <c r="G129" i="57"/>
  <c r="E130" i="57"/>
  <c r="F130" i="57" s="1"/>
  <c r="E143" i="48"/>
  <c r="F143" i="48" s="1"/>
  <c r="F132" i="38"/>
  <c r="D133" i="38" s="1"/>
  <c r="B133" i="38" s="1"/>
  <c r="I142" i="48"/>
  <c r="H142" i="48"/>
  <c r="J128" i="57"/>
  <c r="I134" i="13"/>
  <c r="H134" i="13"/>
  <c r="B135" i="13"/>
  <c r="E135" i="13"/>
  <c r="F135" i="13" s="1"/>
  <c r="E133" i="55"/>
  <c r="F133" i="55" s="1"/>
  <c r="B133" i="55"/>
  <c r="I132" i="55"/>
  <c r="H132" i="55"/>
  <c r="H130" i="54"/>
  <c r="I130" i="54"/>
  <c r="E131" i="54"/>
  <c r="F131" i="54" s="1"/>
  <c r="B131" i="54"/>
  <c r="G135" i="44"/>
  <c r="H135" i="44" s="1"/>
  <c r="J128" i="47"/>
  <c r="E136" i="44"/>
  <c r="F136" i="44" s="1"/>
  <c r="D137" i="44" s="1"/>
  <c r="B130" i="46"/>
  <c r="F130" i="46"/>
  <c r="D130" i="47"/>
  <c r="E130" i="47" s="1"/>
  <c r="G129" i="47"/>
  <c r="I129" i="46"/>
  <c r="H129" i="46"/>
  <c r="I134" i="44"/>
  <c r="J129" i="45"/>
  <c r="J155" i="41"/>
  <c r="G130" i="45"/>
  <c r="E131" i="45"/>
  <c r="D131" i="45"/>
  <c r="I131" i="41"/>
  <c r="D133" i="41"/>
  <c r="B133" i="41" s="1"/>
  <c r="D133" i="42"/>
  <c r="G132" i="42"/>
  <c r="I132" i="41"/>
  <c r="H132" i="41"/>
  <c r="E133" i="41"/>
  <c r="B136" i="25"/>
  <c r="F136" i="25"/>
  <c r="H136" i="5"/>
  <c r="I136" i="5"/>
  <c r="B133" i="27"/>
  <c r="F133" i="27"/>
  <c r="H139" i="10"/>
  <c r="I139" i="10"/>
  <c r="B134" i="24"/>
  <c r="F134" i="24"/>
  <c r="B132" i="31"/>
  <c r="F132" i="31"/>
  <c r="H128" i="37"/>
  <c r="I128" i="37"/>
  <c r="B131" i="30"/>
  <c r="F131" i="30"/>
  <c r="H127" i="40"/>
  <c r="I127" i="40"/>
  <c r="B137" i="4"/>
  <c r="F137" i="4"/>
  <c r="I138" i="11"/>
  <c r="H138" i="11"/>
  <c r="H135" i="25"/>
  <c r="I135" i="25"/>
  <c r="B129" i="43"/>
  <c r="F129" i="43"/>
  <c r="I132" i="27"/>
  <c r="H132" i="27"/>
  <c r="B132" i="29"/>
  <c r="F132" i="29"/>
  <c r="H133" i="24"/>
  <c r="I133" i="24"/>
  <c r="B129" i="39"/>
  <c r="F129" i="39"/>
  <c r="I131" i="31"/>
  <c r="H131" i="31"/>
  <c r="B136" i="22"/>
  <c r="F136" i="22"/>
  <c r="I130" i="30"/>
  <c r="H130" i="30"/>
  <c r="B132" i="28"/>
  <c r="F132" i="28"/>
  <c r="H136" i="4"/>
  <c r="I136" i="4"/>
  <c r="B138" i="6"/>
  <c r="F138" i="6"/>
  <c r="I128" i="43"/>
  <c r="H128" i="43"/>
  <c r="B138" i="8"/>
  <c r="F138" i="8"/>
  <c r="I131" i="29"/>
  <c r="H131" i="29"/>
  <c r="H128" i="39"/>
  <c r="I128" i="39"/>
  <c r="B135" i="23"/>
  <c r="F135" i="23"/>
  <c r="H135" i="22"/>
  <c r="I135" i="22"/>
  <c r="B139" i="9"/>
  <c r="F139" i="9"/>
  <c r="I131" i="28"/>
  <c r="H131" i="28"/>
  <c r="B140" i="7"/>
  <c r="F140" i="7"/>
  <c r="B137" i="3"/>
  <c r="F137" i="3"/>
  <c r="H136" i="3"/>
  <c r="I136" i="3"/>
  <c r="B137" i="5"/>
  <c r="F137" i="5"/>
  <c r="H137" i="6"/>
  <c r="I137" i="6"/>
  <c r="B140" i="10"/>
  <c r="F140" i="10"/>
  <c r="H137" i="8"/>
  <c r="I137" i="8"/>
  <c r="B129" i="37"/>
  <c r="F129" i="37"/>
  <c r="H134" i="23"/>
  <c r="I134" i="23"/>
  <c r="B128" i="40"/>
  <c r="F128" i="40"/>
  <c r="I138" i="9"/>
  <c r="H138" i="9"/>
  <c r="B139" i="11"/>
  <c r="F139" i="11"/>
  <c r="H139" i="7"/>
  <c r="I139" i="7"/>
  <c r="G132" i="38" l="1"/>
  <c r="H132" i="38" s="1"/>
  <c r="G145" i="49"/>
  <c r="D146" i="49"/>
  <c r="B146" i="49" s="1"/>
  <c r="E146" i="49"/>
  <c r="F146" i="49" s="1"/>
  <c r="D144" i="48"/>
  <c r="B144" i="48" s="1"/>
  <c r="G143" i="48"/>
  <c r="E144" i="48"/>
  <c r="F144" i="48" s="1"/>
  <c r="E133" i="38"/>
  <c r="F133" i="38" s="1"/>
  <c r="D134" i="38" s="1"/>
  <c r="E131" i="57"/>
  <c r="G130" i="57"/>
  <c r="D131" i="57"/>
  <c r="I129" i="57"/>
  <c r="H129" i="57"/>
  <c r="H144" i="49"/>
  <c r="I144" i="49"/>
  <c r="G135" i="13"/>
  <c r="D136" i="13"/>
  <c r="B136" i="13" s="1"/>
  <c r="E136" i="13"/>
  <c r="F136" i="13" s="1"/>
  <c r="I135" i="44"/>
  <c r="J130" i="54"/>
  <c r="J155" i="54" s="1"/>
  <c r="G131" i="54"/>
  <c r="D132" i="54"/>
  <c r="D134" i="55"/>
  <c r="G133" i="55"/>
  <c r="G136" i="44"/>
  <c r="H136" i="44" s="1"/>
  <c r="F130" i="47"/>
  <c r="B130" i="47"/>
  <c r="J129" i="46"/>
  <c r="G130" i="46"/>
  <c r="E131" i="46"/>
  <c r="D131" i="46"/>
  <c r="H129" i="47"/>
  <c r="I129" i="47"/>
  <c r="I130" i="45"/>
  <c r="H130" i="45"/>
  <c r="F131" i="45"/>
  <c r="B131" i="45"/>
  <c r="I132" i="38"/>
  <c r="F133" i="41"/>
  <c r="G133" i="41" s="1"/>
  <c r="E137" i="44"/>
  <c r="F137" i="44" s="1"/>
  <c r="B137" i="44"/>
  <c r="I132" i="42"/>
  <c r="H132" i="42"/>
  <c r="E133" i="42"/>
  <c r="F133" i="42" s="1"/>
  <c r="B133" i="42"/>
  <c r="J131" i="29"/>
  <c r="J128" i="43"/>
  <c r="J130" i="30"/>
  <c r="J131" i="31"/>
  <c r="J131" i="28"/>
  <c r="J132" i="27"/>
  <c r="J139" i="7"/>
  <c r="J137" i="8"/>
  <c r="J137" i="6"/>
  <c r="J136" i="3"/>
  <c r="D141" i="7"/>
  <c r="E141" i="7" s="1"/>
  <c r="G140" i="7"/>
  <c r="G139" i="9"/>
  <c r="D140" i="9"/>
  <c r="E140" i="9" s="1"/>
  <c r="G135" i="23"/>
  <c r="D136" i="23"/>
  <c r="E136" i="23"/>
  <c r="J136" i="4"/>
  <c r="G137" i="4"/>
  <c r="D138" i="4"/>
  <c r="E138" i="4"/>
  <c r="G131" i="30"/>
  <c r="D132" i="30"/>
  <c r="E132" i="30"/>
  <c r="G132" i="31"/>
  <c r="D133" i="31"/>
  <c r="E133" i="31" s="1"/>
  <c r="J139" i="10"/>
  <c r="J136" i="5"/>
  <c r="G139" i="11"/>
  <c r="D140" i="11"/>
  <c r="E140" i="11" s="1"/>
  <c r="G128" i="40"/>
  <c r="D129" i="40"/>
  <c r="E129" i="40" s="1"/>
  <c r="G129" i="37"/>
  <c r="D130" i="37"/>
  <c r="E130" i="37" s="1"/>
  <c r="G140" i="10"/>
  <c r="D141" i="10"/>
  <c r="E141" i="10" s="1"/>
  <c r="G137" i="5"/>
  <c r="D138" i="5"/>
  <c r="E138" i="5" s="1"/>
  <c r="G137" i="3"/>
  <c r="D138" i="3"/>
  <c r="E138" i="3" s="1"/>
  <c r="J128" i="39"/>
  <c r="G138" i="8"/>
  <c r="D139" i="8"/>
  <c r="E139" i="8" s="1"/>
  <c r="G138" i="6"/>
  <c r="D139" i="6"/>
  <c r="E139" i="6" s="1"/>
  <c r="G132" i="28"/>
  <c r="D133" i="28"/>
  <c r="E133" i="28"/>
  <c r="G136" i="22"/>
  <c r="D137" i="22"/>
  <c r="E137" i="22" s="1"/>
  <c r="G129" i="39"/>
  <c r="D130" i="39"/>
  <c r="E130" i="39" s="1"/>
  <c r="G132" i="29"/>
  <c r="D133" i="29"/>
  <c r="E133" i="29" s="1"/>
  <c r="G129" i="43"/>
  <c r="D130" i="43"/>
  <c r="E130" i="43"/>
  <c r="J127" i="40"/>
  <c r="J128" i="37"/>
  <c r="G134" i="24"/>
  <c r="D135" i="24"/>
  <c r="E135" i="24" s="1"/>
  <c r="G133" i="27"/>
  <c r="D134" i="27"/>
  <c r="E134" i="27"/>
  <c r="G136" i="25"/>
  <c r="D137" i="25"/>
  <c r="E137" i="25"/>
  <c r="J129" i="57" l="1"/>
  <c r="D147" i="49"/>
  <c r="E147" i="49" s="1"/>
  <c r="G146" i="49"/>
  <c r="B131" i="57"/>
  <c r="F131" i="57"/>
  <c r="G133" i="38"/>
  <c r="I133" i="38" s="1"/>
  <c r="I143" i="48"/>
  <c r="H143" i="48"/>
  <c r="H145" i="49"/>
  <c r="I145" i="49"/>
  <c r="G144" i="48"/>
  <c r="D145" i="48"/>
  <c r="B145" i="48" s="1"/>
  <c r="E145" i="48"/>
  <c r="F145" i="48" s="1"/>
  <c r="H130" i="57"/>
  <c r="I130" i="57"/>
  <c r="J130" i="57" s="1"/>
  <c r="J155" i="57" s="1"/>
  <c r="G136" i="13"/>
  <c r="D137" i="13"/>
  <c r="B137" i="13" s="1"/>
  <c r="H135" i="13"/>
  <c r="I135" i="13"/>
  <c r="I136" i="44"/>
  <c r="E134" i="55"/>
  <c r="F134" i="55" s="1"/>
  <c r="B134" i="55"/>
  <c r="E132" i="54"/>
  <c r="F132" i="54" s="1"/>
  <c r="B132" i="54"/>
  <c r="I131" i="54"/>
  <c r="H131" i="54"/>
  <c r="H133" i="55"/>
  <c r="I133" i="55"/>
  <c r="J129" i="47"/>
  <c r="I130" i="46"/>
  <c r="H130" i="46"/>
  <c r="B131" i="46"/>
  <c r="F131" i="46"/>
  <c r="D131" i="47"/>
  <c r="E131" i="47" s="1"/>
  <c r="G130" i="47"/>
  <c r="E132" i="45"/>
  <c r="D132" i="45"/>
  <c r="G131" i="45"/>
  <c r="J130" i="45"/>
  <c r="J155" i="45" s="1"/>
  <c r="D134" i="41"/>
  <c r="B134" i="41" s="1"/>
  <c r="D138" i="44"/>
  <c r="B138" i="44" s="1"/>
  <c r="G137" i="44"/>
  <c r="G133" i="42"/>
  <c r="D134" i="42"/>
  <c r="I133" i="41"/>
  <c r="H133" i="41"/>
  <c r="E134" i="41"/>
  <c r="E134" i="38"/>
  <c r="F134" i="38" s="1"/>
  <c r="B134" i="38"/>
  <c r="B130" i="43"/>
  <c r="F130" i="43"/>
  <c r="H132" i="29"/>
  <c r="I132" i="29"/>
  <c r="B133" i="28"/>
  <c r="F133" i="28"/>
  <c r="H138" i="6"/>
  <c r="I138" i="6"/>
  <c r="B141" i="10"/>
  <c r="F141" i="10"/>
  <c r="H129" i="37"/>
  <c r="I129" i="37"/>
  <c r="B138" i="4"/>
  <c r="F138" i="4"/>
  <c r="B136" i="23"/>
  <c r="F136" i="23"/>
  <c r="I139" i="9"/>
  <c r="H139" i="9"/>
  <c r="B134" i="27"/>
  <c r="F134" i="27"/>
  <c r="B137" i="25"/>
  <c r="F137" i="25"/>
  <c r="H133" i="27"/>
  <c r="I133" i="27"/>
  <c r="I129" i="43"/>
  <c r="H129" i="43"/>
  <c r="B137" i="22"/>
  <c r="F137" i="22"/>
  <c r="H132" i="28"/>
  <c r="I132" i="28"/>
  <c r="B138" i="5"/>
  <c r="F138" i="5"/>
  <c r="H140" i="10"/>
  <c r="I140" i="10"/>
  <c r="B140" i="11"/>
  <c r="F140" i="11"/>
  <c r="B132" i="30"/>
  <c r="F132" i="30"/>
  <c r="H137" i="4"/>
  <c r="I137" i="4"/>
  <c r="I135" i="23"/>
  <c r="H135" i="23"/>
  <c r="H134" i="24"/>
  <c r="I134" i="24"/>
  <c r="H136" i="25"/>
  <c r="I136" i="25"/>
  <c r="B130" i="39"/>
  <c r="F130" i="39"/>
  <c r="H136" i="22"/>
  <c r="I136" i="22"/>
  <c r="B139" i="8"/>
  <c r="F139" i="8"/>
  <c r="B138" i="3"/>
  <c r="F138" i="3"/>
  <c r="H137" i="5"/>
  <c r="I137" i="5"/>
  <c r="B129" i="40"/>
  <c r="F129" i="40"/>
  <c r="H139" i="11"/>
  <c r="I139" i="11"/>
  <c r="B133" i="31"/>
  <c r="F133" i="31"/>
  <c r="H131" i="30"/>
  <c r="I131" i="30"/>
  <c r="H140" i="7"/>
  <c r="I140" i="7"/>
  <c r="B135" i="24"/>
  <c r="F135" i="24"/>
  <c r="B133" i="29"/>
  <c r="F133" i="29"/>
  <c r="H129" i="39"/>
  <c r="I129" i="39"/>
  <c r="B139" i="6"/>
  <c r="F139" i="6"/>
  <c r="H138" i="8"/>
  <c r="I138" i="8"/>
  <c r="H137" i="3"/>
  <c r="I137" i="3"/>
  <c r="B130" i="37"/>
  <c r="F130" i="37"/>
  <c r="H128" i="40"/>
  <c r="I128" i="40"/>
  <c r="H132" i="31"/>
  <c r="I132" i="31"/>
  <c r="B140" i="9"/>
  <c r="F140" i="9"/>
  <c r="B141" i="7"/>
  <c r="F141" i="7"/>
  <c r="D146" i="48" l="1"/>
  <c r="B146" i="48" s="1"/>
  <c r="G145" i="48"/>
  <c r="H144" i="48"/>
  <c r="I144" i="48"/>
  <c r="H133" i="38"/>
  <c r="H146" i="49"/>
  <c r="I146" i="49"/>
  <c r="B147" i="49"/>
  <c r="F147" i="49"/>
  <c r="E132" i="57"/>
  <c r="D132" i="57"/>
  <c r="G131" i="57"/>
  <c r="H136" i="13"/>
  <c r="I136" i="13"/>
  <c r="E137" i="13"/>
  <c r="F137" i="13" s="1"/>
  <c r="D133" i="54"/>
  <c r="B133" i="54" s="1"/>
  <c r="G132" i="54"/>
  <c r="E133" i="54"/>
  <c r="F133" i="54" s="1"/>
  <c r="G134" i="55"/>
  <c r="D135" i="55"/>
  <c r="B135" i="55" s="1"/>
  <c r="D132" i="46"/>
  <c r="G131" i="46"/>
  <c r="E132" i="46"/>
  <c r="I130" i="47"/>
  <c r="H130" i="47"/>
  <c r="F131" i="47"/>
  <c r="B131" i="47"/>
  <c r="J130" i="46"/>
  <c r="J155" i="46" s="1"/>
  <c r="F134" i="41"/>
  <c r="D135" i="41" s="1"/>
  <c r="I131" i="45"/>
  <c r="H131" i="45"/>
  <c r="B132" i="45"/>
  <c r="F132" i="45"/>
  <c r="E138" i="44"/>
  <c r="F138" i="44" s="1"/>
  <c r="I137" i="44"/>
  <c r="H137" i="44"/>
  <c r="D135" i="38"/>
  <c r="G134" i="38"/>
  <c r="E134" i="42"/>
  <c r="F134" i="42" s="1"/>
  <c r="B134" i="42"/>
  <c r="I133" i="42"/>
  <c r="H133" i="42"/>
  <c r="J129" i="37"/>
  <c r="J138" i="6"/>
  <c r="J132" i="29"/>
  <c r="J129" i="43"/>
  <c r="G141" i="7"/>
  <c r="D142" i="7"/>
  <c r="E142" i="7" s="1"/>
  <c r="J132" i="31"/>
  <c r="G130" i="37"/>
  <c r="D131" i="37"/>
  <c r="E131" i="37" s="1"/>
  <c r="J138" i="8"/>
  <c r="J129" i="39"/>
  <c r="G135" i="24"/>
  <c r="D136" i="24"/>
  <c r="E136" i="24" s="1"/>
  <c r="J131" i="30"/>
  <c r="J137" i="5"/>
  <c r="G139" i="8"/>
  <c r="D140" i="8"/>
  <c r="E140" i="8" s="1"/>
  <c r="G130" i="39"/>
  <c r="D131" i="39"/>
  <c r="E131" i="39" s="1"/>
  <c r="J137" i="4"/>
  <c r="G140" i="11"/>
  <c r="D141" i="11"/>
  <c r="E141" i="11" s="1"/>
  <c r="G138" i="5"/>
  <c r="D139" i="5"/>
  <c r="E139" i="5" s="1"/>
  <c r="G137" i="22"/>
  <c r="D138" i="22"/>
  <c r="E138" i="22" s="1"/>
  <c r="J133" i="27"/>
  <c r="G134" i="27"/>
  <c r="D135" i="27"/>
  <c r="E135" i="27" s="1"/>
  <c r="G136" i="23"/>
  <c r="D137" i="23"/>
  <c r="E137" i="23"/>
  <c r="G140" i="9"/>
  <c r="D141" i="9"/>
  <c r="E141" i="9" s="1"/>
  <c r="J128" i="40"/>
  <c r="J137" i="3"/>
  <c r="G139" i="6"/>
  <c r="D140" i="6"/>
  <c r="E140" i="6" s="1"/>
  <c r="G133" i="29"/>
  <c r="D134" i="29"/>
  <c r="E134" i="29" s="1"/>
  <c r="J140" i="7"/>
  <c r="G133" i="31"/>
  <c r="D134" i="31"/>
  <c r="E134" i="31" s="1"/>
  <c r="G129" i="40"/>
  <c r="D130" i="40"/>
  <c r="E130" i="40" s="1"/>
  <c r="G138" i="3"/>
  <c r="D139" i="3"/>
  <c r="E139" i="3" s="1"/>
  <c r="G132" i="30"/>
  <c r="D133" i="30"/>
  <c r="E133" i="30" s="1"/>
  <c r="J140" i="10"/>
  <c r="J132" i="28"/>
  <c r="G137" i="25"/>
  <c r="D138" i="25"/>
  <c r="E138" i="25"/>
  <c r="G138" i="4"/>
  <c r="D139" i="4"/>
  <c r="E139" i="4" s="1"/>
  <c r="G141" i="10"/>
  <c r="D142" i="10"/>
  <c r="E142" i="10" s="1"/>
  <c r="G133" i="28"/>
  <c r="D134" i="28"/>
  <c r="E134" i="28"/>
  <c r="G130" i="43"/>
  <c r="D131" i="43"/>
  <c r="E131" i="43" s="1"/>
  <c r="B132" i="57" l="1"/>
  <c r="F132" i="57"/>
  <c r="E146" i="48"/>
  <c r="F146" i="48" s="1"/>
  <c r="H131" i="57"/>
  <c r="I131" i="57"/>
  <c r="D148" i="49"/>
  <c r="B148" i="49" s="1"/>
  <c r="G147" i="49"/>
  <c r="E148" i="49"/>
  <c r="F148" i="49" s="1"/>
  <c r="H145" i="48"/>
  <c r="I145" i="48"/>
  <c r="D138" i="13"/>
  <c r="B138" i="13" s="1"/>
  <c r="G137" i="13"/>
  <c r="E135" i="55"/>
  <c r="F135" i="55" s="1"/>
  <c r="G134" i="41"/>
  <c r="I134" i="55"/>
  <c r="H134" i="55"/>
  <c r="D134" i="54"/>
  <c r="B134" i="54" s="1"/>
  <c r="G133" i="54"/>
  <c r="E134" i="54"/>
  <c r="I132" i="54"/>
  <c r="H132" i="54"/>
  <c r="J130" i="47"/>
  <c r="J155" i="47" s="1"/>
  <c r="G131" i="47"/>
  <c r="D132" i="47"/>
  <c r="E132" i="47" s="1"/>
  <c r="I131" i="46"/>
  <c r="H131" i="46"/>
  <c r="B132" i="46"/>
  <c r="F132" i="46"/>
  <c r="D133" i="45"/>
  <c r="E133" i="45"/>
  <c r="G132" i="45"/>
  <c r="D139" i="44"/>
  <c r="B139" i="44" s="1"/>
  <c r="G138" i="44"/>
  <c r="I138" i="44" s="1"/>
  <c r="I134" i="38"/>
  <c r="H134" i="38"/>
  <c r="D135" i="42"/>
  <c r="G134" i="42"/>
  <c r="E135" i="38"/>
  <c r="F135" i="38" s="1"/>
  <c r="B135" i="38"/>
  <c r="E135" i="41"/>
  <c r="F135" i="41" s="1"/>
  <c r="B135" i="41"/>
  <c r="I134" i="41"/>
  <c r="H134" i="41"/>
  <c r="B139" i="4"/>
  <c r="F139" i="4"/>
  <c r="H137" i="25"/>
  <c r="I137" i="25"/>
  <c r="B133" i="30"/>
  <c r="F133" i="30"/>
  <c r="I138" i="3"/>
  <c r="H138" i="3"/>
  <c r="B140" i="6"/>
  <c r="F140" i="6"/>
  <c r="B137" i="23"/>
  <c r="F137" i="23"/>
  <c r="I134" i="27"/>
  <c r="H134" i="27"/>
  <c r="I137" i="22"/>
  <c r="H137" i="22"/>
  <c r="B140" i="8"/>
  <c r="F140" i="8"/>
  <c r="B142" i="10"/>
  <c r="F142" i="10"/>
  <c r="I138" i="4"/>
  <c r="H138" i="4"/>
  <c r="H132" i="30"/>
  <c r="I132" i="30"/>
  <c r="B134" i="31"/>
  <c r="F134" i="31"/>
  <c r="B134" i="29"/>
  <c r="F134" i="29"/>
  <c r="H139" i="6"/>
  <c r="I139" i="6"/>
  <c r="B141" i="9"/>
  <c r="F141" i="9"/>
  <c r="I136" i="23"/>
  <c r="H136" i="23"/>
  <c r="B141" i="11"/>
  <c r="F141" i="11"/>
  <c r="B131" i="39"/>
  <c r="F131" i="39"/>
  <c r="H139" i="8"/>
  <c r="I139" i="8"/>
  <c r="B136" i="24"/>
  <c r="F136" i="24"/>
  <c r="B134" i="28"/>
  <c r="F134" i="28"/>
  <c r="H141" i="10"/>
  <c r="I141" i="10"/>
  <c r="B130" i="40"/>
  <c r="F130" i="40"/>
  <c r="I133" i="31"/>
  <c r="H133" i="31"/>
  <c r="H133" i="29"/>
  <c r="I133" i="29"/>
  <c r="I140" i="9"/>
  <c r="H140" i="9"/>
  <c r="B139" i="5"/>
  <c r="F139" i="5"/>
  <c r="H140" i="11"/>
  <c r="I140" i="11"/>
  <c r="H130" i="39"/>
  <c r="I130" i="39"/>
  <c r="I135" i="24"/>
  <c r="H135" i="24"/>
  <c r="B131" i="37"/>
  <c r="F131" i="37"/>
  <c r="B142" i="7"/>
  <c r="F142" i="7"/>
  <c r="H130" i="43"/>
  <c r="I130" i="43"/>
  <c r="B131" i="43"/>
  <c r="F131" i="43"/>
  <c r="I133" i="28"/>
  <c r="H133" i="28"/>
  <c r="B138" i="25"/>
  <c r="F138" i="25"/>
  <c r="B139" i="3"/>
  <c r="F139" i="3"/>
  <c r="I129" i="40"/>
  <c r="H129" i="40"/>
  <c r="B135" i="27"/>
  <c r="F135" i="27"/>
  <c r="B138" i="22"/>
  <c r="F138" i="22"/>
  <c r="I138" i="5"/>
  <c r="H138" i="5"/>
  <c r="H130" i="37"/>
  <c r="I130" i="37"/>
  <c r="H141" i="7"/>
  <c r="I141" i="7"/>
  <c r="D149" i="49" l="1"/>
  <c r="G148" i="49"/>
  <c r="E149" i="49"/>
  <c r="G146" i="48"/>
  <c r="D147" i="48"/>
  <c r="E147" i="48"/>
  <c r="D133" i="57"/>
  <c r="E133" i="57"/>
  <c r="G132" i="57"/>
  <c r="H147" i="49"/>
  <c r="I147" i="49"/>
  <c r="H137" i="13"/>
  <c r="I137" i="13"/>
  <c r="E138" i="13"/>
  <c r="F138" i="13" s="1"/>
  <c r="H133" i="54"/>
  <c r="I133" i="54"/>
  <c r="E139" i="44"/>
  <c r="F139" i="44" s="1"/>
  <c r="D140" i="44" s="1"/>
  <c r="B140" i="44" s="1"/>
  <c r="G135" i="55"/>
  <c r="D136" i="55"/>
  <c r="F134" i="54"/>
  <c r="D133" i="46"/>
  <c r="G132" i="46"/>
  <c r="E133" i="46"/>
  <c r="B132" i="47"/>
  <c r="F132" i="47"/>
  <c r="H131" i="47"/>
  <c r="I131" i="47"/>
  <c r="I132" i="45"/>
  <c r="H132" i="45"/>
  <c r="F133" i="45"/>
  <c r="B133" i="45"/>
  <c r="H138" i="44"/>
  <c r="D136" i="41"/>
  <c r="G135" i="41"/>
  <c r="E135" i="42"/>
  <c r="F135" i="42" s="1"/>
  <c r="B135" i="42"/>
  <c r="G135" i="38"/>
  <c r="D136" i="38"/>
  <c r="I134" i="42"/>
  <c r="H134" i="42"/>
  <c r="J138" i="5"/>
  <c r="J133" i="28"/>
  <c r="J130" i="37"/>
  <c r="J155" i="37" s="1"/>
  <c r="J141" i="10"/>
  <c r="J139" i="6"/>
  <c r="J138" i="3"/>
  <c r="G138" i="22"/>
  <c r="D139" i="22"/>
  <c r="E139" i="22" s="1"/>
  <c r="G138" i="25"/>
  <c r="D139" i="25"/>
  <c r="E139" i="25"/>
  <c r="G142" i="7"/>
  <c r="D143" i="7"/>
  <c r="E143" i="7" s="1"/>
  <c r="G136" i="24"/>
  <c r="D137" i="24"/>
  <c r="E137" i="24" s="1"/>
  <c r="G131" i="39"/>
  <c r="D132" i="39"/>
  <c r="E132" i="39" s="1"/>
  <c r="G134" i="31"/>
  <c r="D135" i="31"/>
  <c r="E135" i="31" s="1"/>
  <c r="G140" i="8"/>
  <c r="D141" i="8"/>
  <c r="E141" i="8" s="1"/>
  <c r="G140" i="6"/>
  <c r="D141" i="6"/>
  <c r="E141" i="6" s="1"/>
  <c r="G133" i="30"/>
  <c r="D134" i="30"/>
  <c r="E134" i="30" s="1"/>
  <c r="J138" i="4"/>
  <c r="J134" i="27"/>
  <c r="J141" i="7"/>
  <c r="G135" i="27"/>
  <c r="D136" i="27"/>
  <c r="E136" i="27" s="1"/>
  <c r="G139" i="3"/>
  <c r="D140" i="3"/>
  <c r="E140" i="3" s="1"/>
  <c r="J130" i="43"/>
  <c r="J155" i="43" s="1"/>
  <c r="G131" i="37"/>
  <c r="D132" i="37"/>
  <c r="E132" i="37" s="1"/>
  <c r="J130" i="39"/>
  <c r="J155" i="39" s="1"/>
  <c r="G139" i="5"/>
  <c r="D140" i="5"/>
  <c r="E140" i="5" s="1"/>
  <c r="J133" i="29"/>
  <c r="G130" i="40"/>
  <c r="D131" i="40"/>
  <c r="E131" i="40" s="1"/>
  <c r="G134" i="28"/>
  <c r="D135" i="28"/>
  <c r="E135" i="28"/>
  <c r="J139" i="8"/>
  <c r="G141" i="11"/>
  <c r="D142" i="11"/>
  <c r="E142" i="11" s="1"/>
  <c r="G141" i="9"/>
  <c r="D142" i="9"/>
  <c r="E142" i="9" s="1"/>
  <c r="G134" i="29"/>
  <c r="D135" i="29"/>
  <c r="E135" i="29" s="1"/>
  <c r="J132" i="30"/>
  <c r="G142" i="10"/>
  <c r="D143" i="10"/>
  <c r="E143" i="10" s="1"/>
  <c r="G137" i="23"/>
  <c r="D138" i="23"/>
  <c r="E138" i="23" s="1"/>
  <c r="G131" i="43"/>
  <c r="D132" i="43"/>
  <c r="E132" i="43" s="1"/>
  <c r="G139" i="4"/>
  <c r="D140" i="4"/>
  <c r="E140" i="4" s="1"/>
  <c r="J129" i="40"/>
  <c r="J133" i="31"/>
  <c r="B133" i="57" l="1"/>
  <c r="F133" i="57"/>
  <c r="B147" i="48"/>
  <c r="F147" i="48"/>
  <c r="H146" i="48"/>
  <c r="I146" i="48"/>
  <c r="H148" i="49"/>
  <c r="I148" i="49"/>
  <c r="H132" i="57"/>
  <c r="I132" i="57"/>
  <c r="B149" i="49"/>
  <c r="F149" i="49"/>
  <c r="D139" i="13"/>
  <c r="B139" i="13" s="1"/>
  <c r="G138" i="13"/>
  <c r="E139" i="13"/>
  <c r="F139" i="13" s="1"/>
  <c r="E136" i="55"/>
  <c r="F136" i="55" s="1"/>
  <c r="B136" i="55"/>
  <c r="I135" i="55"/>
  <c r="H135" i="55"/>
  <c r="G134" i="54"/>
  <c r="D135" i="54"/>
  <c r="I132" i="46"/>
  <c r="H132" i="46"/>
  <c r="G132" i="47"/>
  <c r="D133" i="47"/>
  <c r="E133" i="47" s="1"/>
  <c r="F133" i="46"/>
  <c r="B133" i="46"/>
  <c r="G139" i="44"/>
  <c r="H139" i="44" s="1"/>
  <c r="E140" i="44"/>
  <c r="F140" i="44" s="1"/>
  <c r="G133" i="45"/>
  <c r="D134" i="45"/>
  <c r="E134" i="45" s="1"/>
  <c r="G135" i="42"/>
  <c r="D136" i="42"/>
  <c r="E136" i="38"/>
  <c r="F136" i="38" s="1"/>
  <c r="B136" i="38"/>
  <c r="I135" i="38"/>
  <c r="H135" i="38"/>
  <c r="I135" i="41"/>
  <c r="H135" i="41"/>
  <c r="E136" i="41"/>
  <c r="F136" i="41" s="1"/>
  <c r="B136" i="41"/>
  <c r="I137" i="23"/>
  <c r="H137" i="23"/>
  <c r="B142" i="11"/>
  <c r="F142" i="11"/>
  <c r="H130" i="40"/>
  <c r="I130" i="40"/>
  <c r="H139" i="5"/>
  <c r="I139" i="5"/>
  <c r="I131" i="37"/>
  <c r="H131" i="37"/>
  <c r="H139" i="3"/>
  <c r="I139" i="3"/>
  <c r="H140" i="6"/>
  <c r="I140" i="6"/>
  <c r="B140" i="4"/>
  <c r="F140" i="4"/>
  <c r="B142" i="9"/>
  <c r="F142" i="9"/>
  <c r="H134" i="28"/>
  <c r="I134" i="28"/>
  <c r="B135" i="31"/>
  <c r="F135" i="31"/>
  <c r="B139" i="25"/>
  <c r="F139" i="25"/>
  <c r="I138" i="22"/>
  <c r="H138" i="22"/>
  <c r="H139" i="4"/>
  <c r="I139" i="4"/>
  <c r="B143" i="10"/>
  <c r="F143" i="10"/>
  <c r="B135" i="29"/>
  <c r="F135" i="29"/>
  <c r="H141" i="9"/>
  <c r="I141" i="9"/>
  <c r="B136" i="27"/>
  <c r="F136" i="27"/>
  <c r="B141" i="8"/>
  <c r="F141" i="8"/>
  <c r="H134" i="31"/>
  <c r="I134" i="31"/>
  <c r="B143" i="7"/>
  <c r="F143" i="7"/>
  <c r="I138" i="25"/>
  <c r="H138" i="25"/>
  <c r="B132" i="43"/>
  <c r="F132" i="43"/>
  <c r="B135" i="28"/>
  <c r="F135" i="28"/>
  <c r="B134" i="30"/>
  <c r="F134" i="30"/>
  <c r="B132" i="39"/>
  <c r="F132" i="39"/>
  <c r="I136" i="24"/>
  <c r="H136" i="24"/>
  <c r="B139" i="22"/>
  <c r="F139" i="22"/>
  <c r="I131" i="43"/>
  <c r="H131" i="43"/>
  <c r="H141" i="11"/>
  <c r="I141" i="11"/>
  <c r="H133" i="30"/>
  <c r="I133" i="30"/>
  <c r="H131" i="39"/>
  <c r="I131" i="39"/>
  <c r="B138" i="23"/>
  <c r="F138" i="23"/>
  <c r="H142" i="10"/>
  <c r="I142" i="10"/>
  <c r="I134" i="29"/>
  <c r="H134" i="29"/>
  <c r="B131" i="40"/>
  <c r="F131" i="40"/>
  <c r="B140" i="5"/>
  <c r="F140" i="5"/>
  <c r="B132" i="37"/>
  <c r="F132" i="37"/>
  <c r="B140" i="3"/>
  <c r="F140" i="3"/>
  <c r="H135" i="27"/>
  <c r="I135" i="27"/>
  <c r="B141" i="6"/>
  <c r="F141" i="6"/>
  <c r="H140" i="8"/>
  <c r="I140" i="8"/>
  <c r="F137" i="24"/>
  <c r="B137" i="24"/>
  <c r="H142" i="7"/>
  <c r="I142" i="7"/>
  <c r="D150" i="49" l="1"/>
  <c r="G149" i="49"/>
  <c r="E150" i="49"/>
  <c r="D148" i="48"/>
  <c r="B148" i="48" s="1"/>
  <c r="G147" i="48"/>
  <c r="E148" i="48"/>
  <c r="F148" i="48" s="1"/>
  <c r="G133" i="57"/>
  <c r="D134" i="57"/>
  <c r="E134" i="57"/>
  <c r="G139" i="13"/>
  <c r="D140" i="13"/>
  <c r="B140" i="13" s="1"/>
  <c r="E140" i="13"/>
  <c r="F140" i="13" s="1"/>
  <c r="H138" i="13"/>
  <c r="I138" i="13"/>
  <c r="E135" i="54"/>
  <c r="F135" i="54" s="1"/>
  <c r="B135" i="54"/>
  <c r="G136" i="55"/>
  <c r="D137" i="55"/>
  <c r="I134" i="54"/>
  <c r="H134" i="54"/>
  <c r="B133" i="47"/>
  <c r="F133" i="47"/>
  <c r="I139" i="44"/>
  <c r="I132" i="47"/>
  <c r="H132" i="47"/>
  <c r="G133" i="46"/>
  <c r="E134" i="46"/>
  <c r="D134" i="46"/>
  <c r="B134" i="45"/>
  <c r="F134" i="45"/>
  <c r="H133" i="45"/>
  <c r="I133" i="45"/>
  <c r="D141" i="44"/>
  <c r="G140" i="44"/>
  <c r="G136" i="38"/>
  <c r="D137" i="38"/>
  <c r="E136" i="42"/>
  <c r="F136" i="42" s="1"/>
  <c r="B136" i="42"/>
  <c r="G136" i="41"/>
  <c r="D137" i="41"/>
  <c r="B137" i="41" s="1"/>
  <c r="I135" i="42"/>
  <c r="H135" i="42"/>
  <c r="J140" i="6"/>
  <c r="J130" i="40"/>
  <c r="J155" i="40" s="1"/>
  <c r="J133" i="30"/>
  <c r="G141" i="6"/>
  <c r="D142" i="6"/>
  <c r="E142" i="6" s="1"/>
  <c r="G141" i="8"/>
  <c r="D142" i="8"/>
  <c r="E142" i="8" s="1"/>
  <c r="J134" i="29"/>
  <c r="J142" i="7"/>
  <c r="J140" i="8"/>
  <c r="J135" i="27"/>
  <c r="G132" i="37"/>
  <c r="D133" i="37"/>
  <c r="E133" i="37" s="1"/>
  <c r="G131" i="40"/>
  <c r="D132" i="40"/>
  <c r="E132" i="40" s="1"/>
  <c r="J142" i="10"/>
  <c r="G139" i="22"/>
  <c r="D140" i="22"/>
  <c r="E140" i="22" s="1"/>
  <c r="G132" i="39"/>
  <c r="D133" i="39"/>
  <c r="E133" i="39"/>
  <c r="G135" i="28"/>
  <c r="D136" i="28"/>
  <c r="E136" i="28" s="1"/>
  <c r="J134" i="31"/>
  <c r="G136" i="27"/>
  <c r="D137" i="27"/>
  <c r="E137" i="27" s="1"/>
  <c r="G135" i="29"/>
  <c r="D136" i="29"/>
  <c r="E136" i="29" s="1"/>
  <c r="J139" i="4"/>
  <c r="G139" i="25"/>
  <c r="D140" i="25"/>
  <c r="E140" i="25" s="1"/>
  <c r="J134" i="28"/>
  <c r="G140" i="4"/>
  <c r="D141" i="4"/>
  <c r="E141" i="4" s="1"/>
  <c r="J139" i="3"/>
  <c r="J139" i="5"/>
  <c r="G142" i="11"/>
  <c r="D143" i="11"/>
  <c r="E143" i="11" s="1"/>
  <c r="G140" i="3"/>
  <c r="D141" i="3"/>
  <c r="E141" i="3" s="1"/>
  <c r="G138" i="23"/>
  <c r="D139" i="23"/>
  <c r="E139" i="23" s="1"/>
  <c r="G143" i="7"/>
  <c r="D144" i="7"/>
  <c r="E144" i="7" s="1"/>
  <c r="D136" i="31"/>
  <c r="E136" i="31" s="1"/>
  <c r="G135" i="31"/>
  <c r="G132" i="43"/>
  <c r="D133" i="43"/>
  <c r="E133" i="43" s="1"/>
  <c r="G143" i="10"/>
  <c r="D144" i="10"/>
  <c r="E144" i="10" s="1"/>
  <c r="G142" i="9"/>
  <c r="D143" i="9"/>
  <c r="E143" i="9" s="1"/>
  <c r="G140" i="5"/>
  <c r="D141" i="5"/>
  <c r="E141" i="5" s="1"/>
  <c r="G134" i="30"/>
  <c r="D135" i="30"/>
  <c r="E135" i="30" s="1"/>
  <c r="G137" i="24"/>
  <c r="D138" i="24"/>
  <c r="E138" i="24" s="1"/>
  <c r="I133" i="57" l="1"/>
  <c r="H133" i="57"/>
  <c r="B134" i="57"/>
  <c r="F134" i="57"/>
  <c r="G148" i="48"/>
  <c r="D149" i="48"/>
  <c r="E149" i="48"/>
  <c r="H147" i="48"/>
  <c r="I147" i="48"/>
  <c r="H149" i="49"/>
  <c r="I149" i="49"/>
  <c r="B150" i="49"/>
  <c r="F150" i="49"/>
  <c r="D141" i="13"/>
  <c r="B141" i="13" s="1"/>
  <c r="G140" i="13"/>
  <c r="E141" i="13"/>
  <c r="F141" i="13" s="1"/>
  <c r="H139" i="13"/>
  <c r="I139" i="13"/>
  <c r="E137" i="55"/>
  <c r="F137" i="55" s="1"/>
  <c r="B137" i="55"/>
  <c r="H136" i="55"/>
  <c r="I136" i="55"/>
  <c r="D136" i="54"/>
  <c r="G135" i="54"/>
  <c r="B134" i="46"/>
  <c r="F134" i="46"/>
  <c r="H133" i="46"/>
  <c r="I133" i="46"/>
  <c r="G133" i="47"/>
  <c r="D134" i="47"/>
  <c r="E134" i="47" s="1"/>
  <c r="D135" i="45"/>
  <c r="B135" i="45" s="1"/>
  <c r="G134" i="45"/>
  <c r="I140" i="44"/>
  <c r="H140" i="44"/>
  <c r="E141" i="44"/>
  <c r="F141" i="44" s="1"/>
  <c r="B141" i="44"/>
  <c r="E137" i="41"/>
  <c r="F137" i="41" s="1"/>
  <c r="D138" i="41" s="1"/>
  <c r="D137" i="42"/>
  <c r="G136" i="42"/>
  <c r="H136" i="41"/>
  <c r="I136" i="41"/>
  <c r="E137" i="38"/>
  <c r="F137" i="38" s="1"/>
  <c r="B137" i="38"/>
  <c r="I136" i="38"/>
  <c r="H136" i="38"/>
  <c r="B141" i="3"/>
  <c r="F141" i="3"/>
  <c r="B141" i="4"/>
  <c r="F141" i="4"/>
  <c r="B140" i="25"/>
  <c r="F140" i="25"/>
  <c r="B136" i="29"/>
  <c r="F136" i="29"/>
  <c r="I136" i="27"/>
  <c r="H136" i="27"/>
  <c r="I135" i="28"/>
  <c r="H135" i="28"/>
  <c r="B133" i="37"/>
  <c r="F133" i="37"/>
  <c r="H141" i="8"/>
  <c r="I141" i="8"/>
  <c r="B135" i="30"/>
  <c r="F135" i="30"/>
  <c r="B136" i="31"/>
  <c r="F136" i="31"/>
  <c r="B138" i="24"/>
  <c r="F138" i="24"/>
  <c r="H134" i="30"/>
  <c r="I134" i="30"/>
  <c r="B144" i="10"/>
  <c r="F144" i="10"/>
  <c r="H132" i="43"/>
  <c r="I132" i="43"/>
  <c r="B139" i="23"/>
  <c r="F139" i="23"/>
  <c r="I140" i="3"/>
  <c r="H140" i="3"/>
  <c r="I140" i="4"/>
  <c r="H140" i="4"/>
  <c r="H139" i="25"/>
  <c r="I139" i="25"/>
  <c r="H135" i="29"/>
  <c r="I135" i="29"/>
  <c r="B140" i="22"/>
  <c r="F140" i="22"/>
  <c r="B132" i="40"/>
  <c r="F132" i="40"/>
  <c r="I132" i="37"/>
  <c r="H132" i="37"/>
  <c r="B141" i="5"/>
  <c r="F141" i="5"/>
  <c r="H140" i="5"/>
  <c r="I140" i="5"/>
  <c r="B133" i="43"/>
  <c r="F133" i="43"/>
  <c r="H142" i="11"/>
  <c r="I142" i="11"/>
  <c r="H137" i="24"/>
  <c r="I137" i="24"/>
  <c r="B143" i="9"/>
  <c r="F143" i="9"/>
  <c r="H143" i="10"/>
  <c r="I143" i="10"/>
  <c r="B144" i="7"/>
  <c r="F144" i="7"/>
  <c r="I138" i="23"/>
  <c r="H138" i="23"/>
  <c r="F133" i="39"/>
  <c r="B133" i="39"/>
  <c r="H139" i="22"/>
  <c r="I139" i="22"/>
  <c r="I131" i="40"/>
  <c r="H131" i="40"/>
  <c r="B142" i="6"/>
  <c r="F142" i="6"/>
  <c r="I142" i="9"/>
  <c r="H142" i="9"/>
  <c r="H135" i="31"/>
  <c r="I135" i="31"/>
  <c r="H143" i="7"/>
  <c r="I143" i="7"/>
  <c r="B143" i="11"/>
  <c r="F143" i="11"/>
  <c r="B137" i="27"/>
  <c r="F137" i="27"/>
  <c r="B136" i="28"/>
  <c r="F136" i="28"/>
  <c r="I132" i="39"/>
  <c r="H132" i="39"/>
  <c r="B142" i="8"/>
  <c r="F142" i="8"/>
  <c r="H141" i="6"/>
  <c r="I141" i="6"/>
  <c r="I148" i="48" l="1"/>
  <c r="H148" i="48"/>
  <c r="G134" i="57"/>
  <c r="E135" i="57"/>
  <c r="D135" i="57"/>
  <c r="D151" i="49"/>
  <c r="G150" i="49"/>
  <c r="E151" i="49"/>
  <c r="B149" i="48"/>
  <c r="F149" i="48"/>
  <c r="G141" i="13"/>
  <c r="D142" i="13"/>
  <c r="B142" i="13" s="1"/>
  <c r="E142" i="13"/>
  <c r="F142" i="13" s="1"/>
  <c r="H140" i="13"/>
  <c r="I140" i="13"/>
  <c r="E135" i="45"/>
  <c r="H135" i="54"/>
  <c r="I135" i="54"/>
  <c r="E136" i="54"/>
  <c r="F136" i="54" s="1"/>
  <c r="B136" i="54"/>
  <c r="G137" i="55"/>
  <c r="D138" i="55"/>
  <c r="B134" i="47"/>
  <c r="F134" i="47"/>
  <c r="G134" i="46"/>
  <c r="D135" i="46"/>
  <c r="E135" i="46" s="1"/>
  <c r="H133" i="47"/>
  <c r="I133" i="47"/>
  <c r="H134" i="45"/>
  <c r="I134" i="45"/>
  <c r="F135" i="45"/>
  <c r="G137" i="41"/>
  <c r="I137" i="41" s="1"/>
  <c r="D142" i="44"/>
  <c r="G141" i="44"/>
  <c r="D138" i="38"/>
  <c r="G137" i="38"/>
  <c r="H136" i="42"/>
  <c r="I136" i="42"/>
  <c r="E138" i="41"/>
  <c r="F138" i="41" s="1"/>
  <c r="B138" i="41"/>
  <c r="E137" i="42"/>
  <c r="F137" i="42" s="1"/>
  <c r="B137" i="42"/>
  <c r="J140" i="3"/>
  <c r="J135" i="28"/>
  <c r="J140" i="4"/>
  <c r="J141" i="6"/>
  <c r="G137" i="27"/>
  <c r="D138" i="27"/>
  <c r="E138" i="27" s="1"/>
  <c r="J143" i="7"/>
  <c r="G144" i="7"/>
  <c r="D145" i="7"/>
  <c r="E145" i="7" s="1"/>
  <c r="G143" i="9"/>
  <c r="D144" i="9"/>
  <c r="E144" i="9" s="1"/>
  <c r="J140" i="5"/>
  <c r="G140" i="22"/>
  <c r="D141" i="22"/>
  <c r="E141" i="22" s="1"/>
  <c r="J134" i="30"/>
  <c r="G136" i="31"/>
  <c r="D137" i="31"/>
  <c r="E137" i="31" s="1"/>
  <c r="J141" i="8"/>
  <c r="G136" i="29"/>
  <c r="D137" i="29"/>
  <c r="E137" i="29" s="1"/>
  <c r="G141" i="4"/>
  <c r="D142" i="4"/>
  <c r="E142" i="4" s="1"/>
  <c r="D134" i="39"/>
  <c r="G133" i="39"/>
  <c r="E134" i="39"/>
  <c r="G142" i="8"/>
  <c r="D143" i="8"/>
  <c r="E143" i="8" s="1"/>
  <c r="D137" i="28"/>
  <c r="E137" i="28" s="1"/>
  <c r="G136" i="28"/>
  <c r="G143" i="11"/>
  <c r="D144" i="11"/>
  <c r="E144" i="11" s="1"/>
  <c r="J135" i="31"/>
  <c r="G142" i="6"/>
  <c r="D143" i="6"/>
  <c r="E143" i="6" s="1"/>
  <c r="J143" i="10"/>
  <c r="G133" i="43"/>
  <c r="D134" i="43"/>
  <c r="E134" i="43" s="1"/>
  <c r="G141" i="5"/>
  <c r="D142" i="5"/>
  <c r="E142" i="5" s="1"/>
  <c r="G132" i="40"/>
  <c r="D133" i="40"/>
  <c r="E133" i="40" s="1"/>
  <c r="J135" i="29"/>
  <c r="G139" i="23"/>
  <c r="D140" i="23"/>
  <c r="E140" i="23" s="1"/>
  <c r="G144" i="10"/>
  <c r="D145" i="10"/>
  <c r="E145" i="10" s="1"/>
  <c r="G138" i="24"/>
  <c r="D139" i="24"/>
  <c r="E139" i="24" s="1"/>
  <c r="G135" i="30"/>
  <c r="D136" i="30"/>
  <c r="E136" i="30" s="1"/>
  <c r="G133" i="37"/>
  <c r="D134" i="37"/>
  <c r="E134" i="37"/>
  <c r="G140" i="25"/>
  <c r="D141" i="25"/>
  <c r="E141" i="25" s="1"/>
  <c r="G141" i="3"/>
  <c r="D142" i="3"/>
  <c r="E142" i="3" s="1"/>
  <c r="J136" i="27"/>
  <c r="B151" i="49" l="1"/>
  <c r="F151" i="49"/>
  <c r="B135" i="57"/>
  <c r="F135" i="57"/>
  <c r="H134" i="57"/>
  <c r="I134" i="57"/>
  <c r="I150" i="49"/>
  <c r="H150" i="49"/>
  <c r="D150" i="48"/>
  <c r="G149" i="48"/>
  <c r="E150" i="48"/>
  <c r="G142" i="13"/>
  <c r="D143" i="13"/>
  <c r="B143" i="13" s="1"/>
  <c r="I141" i="13"/>
  <c r="H141" i="13"/>
  <c r="E138" i="55"/>
  <c r="F138" i="55" s="1"/>
  <c r="B138" i="55"/>
  <c r="I137" i="55"/>
  <c r="H137" i="55"/>
  <c r="D137" i="54"/>
  <c r="G136" i="54"/>
  <c r="B135" i="46"/>
  <c r="F135" i="46"/>
  <c r="H134" i="46"/>
  <c r="I134" i="46"/>
  <c r="G134" i="47"/>
  <c r="D135" i="47"/>
  <c r="E135" i="47" s="1"/>
  <c r="H137" i="41"/>
  <c r="G135" i="45"/>
  <c r="D136" i="45"/>
  <c r="B136" i="45" s="1"/>
  <c r="E142" i="44"/>
  <c r="F142" i="44" s="1"/>
  <c r="B142" i="44"/>
  <c r="I141" i="44"/>
  <c r="H141" i="44"/>
  <c r="G138" i="41"/>
  <c r="D139" i="41"/>
  <c r="G137" i="42"/>
  <c r="D138" i="42"/>
  <c r="H137" i="38"/>
  <c r="I137" i="38"/>
  <c r="E138" i="38"/>
  <c r="F138" i="38" s="1"/>
  <c r="B138" i="38"/>
  <c r="B142" i="3"/>
  <c r="F142" i="3"/>
  <c r="I140" i="25"/>
  <c r="H140" i="25"/>
  <c r="I141" i="3"/>
  <c r="H141" i="3"/>
  <c r="B136" i="30"/>
  <c r="F136" i="30"/>
  <c r="H138" i="24"/>
  <c r="I138" i="24"/>
  <c r="B142" i="5"/>
  <c r="F142" i="5"/>
  <c r="H133" i="43"/>
  <c r="I133" i="43"/>
  <c r="H142" i="6"/>
  <c r="I142" i="6"/>
  <c r="I143" i="11"/>
  <c r="H143" i="11"/>
  <c r="H133" i="39"/>
  <c r="I133" i="39"/>
  <c r="I141" i="4"/>
  <c r="H141" i="4"/>
  <c r="H135" i="30"/>
  <c r="I135" i="30"/>
  <c r="B140" i="23"/>
  <c r="F140" i="23"/>
  <c r="B133" i="40"/>
  <c r="F133" i="40"/>
  <c r="H141" i="5"/>
  <c r="I141" i="5"/>
  <c r="B143" i="8"/>
  <c r="F143" i="8"/>
  <c r="B134" i="39"/>
  <c r="F134" i="39"/>
  <c r="B145" i="7"/>
  <c r="F145" i="7"/>
  <c r="B138" i="27"/>
  <c r="F138" i="27"/>
  <c r="B141" i="25"/>
  <c r="F141" i="25"/>
  <c r="B145" i="10"/>
  <c r="F145" i="10"/>
  <c r="I139" i="23"/>
  <c r="H139" i="23"/>
  <c r="H132" i="40"/>
  <c r="I132" i="40"/>
  <c r="H136" i="28"/>
  <c r="I136" i="28"/>
  <c r="H142" i="8"/>
  <c r="I142" i="8"/>
  <c r="B137" i="29"/>
  <c r="F137" i="29"/>
  <c r="B137" i="31"/>
  <c r="F137" i="31"/>
  <c r="B141" i="22"/>
  <c r="F141" i="22"/>
  <c r="B144" i="9"/>
  <c r="F144" i="9"/>
  <c r="I144" i="7"/>
  <c r="H144" i="7"/>
  <c r="I137" i="27"/>
  <c r="H137" i="27"/>
  <c r="B134" i="37"/>
  <c r="F134" i="37"/>
  <c r="I133" i="37"/>
  <c r="H133" i="37"/>
  <c r="B139" i="24"/>
  <c r="F139" i="24"/>
  <c r="I144" i="10"/>
  <c r="H144" i="10"/>
  <c r="B134" i="43"/>
  <c r="F134" i="43"/>
  <c r="B143" i="6"/>
  <c r="F143" i="6"/>
  <c r="B144" i="11"/>
  <c r="F144" i="11"/>
  <c r="B137" i="28"/>
  <c r="F137" i="28"/>
  <c r="B142" i="4"/>
  <c r="F142" i="4"/>
  <c r="H136" i="29"/>
  <c r="I136" i="29"/>
  <c r="I136" i="31"/>
  <c r="H136" i="31"/>
  <c r="H140" i="22"/>
  <c r="I140" i="22"/>
  <c r="H143" i="9"/>
  <c r="I143" i="9"/>
  <c r="D136" i="57" l="1"/>
  <c r="B136" i="57" s="1"/>
  <c r="G135" i="57"/>
  <c r="E136" i="57"/>
  <c r="I149" i="48"/>
  <c r="H149" i="48"/>
  <c r="G151" i="49"/>
  <c r="D152" i="49"/>
  <c r="B152" i="49" s="1"/>
  <c r="E152" i="49"/>
  <c r="F152" i="49" s="1"/>
  <c r="B150" i="48"/>
  <c r="F150" i="48"/>
  <c r="I142" i="13"/>
  <c r="H142" i="13"/>
  <c r="E143" i="13"/>
  <c r="F143" i="13" s="1"/>
  <c r="E136" i="45"/>
  <c r="D139" i="55"/>
  <c r="B139" i="55" s="1"/>
  <c r="G138" i="55"/>
  <c r="I136" i="54"/>
  <c r="H136" i="54"/>
  <c r="E137" i="54"/>
  <c r="F137" i="54" s="1"/>
  <c r="B137" i="54"/>
  <c r="F135" i="47"/>
  <c r="B135" i="47"/>
  <c r="D136" i="46"/>
  <c r="B136" i="46" s="1"/>
  <c r="G135" i="46"/>
  <c r="I134" i="47"/>
  <c r="H134" i="47"/>
  <c r="H135" i="45"/>
  <c r="I135" i="45"/>
  <c r="F136" i="45"/>
  <c r="D143" i="44"/>
  <c r="B143" i="44" s="1"/>
  <c r="G142" i="44"/>
  <c r="D139" i="38"/>
  <c r="G138" i="38"/>
  <c r="E139" i="41"/>
  <c r="F139" i="41" s="1"/>
  <c r="B139" i="41"/>
  <c r="E138" i="42"/>
  <c r="F138" i="42" s="1"/>
  <c r="B138" i="42"/>
  <c r="I137" i="42"/>
  <c r="H137" i="42"/>
  <c r="H138" i="41"/>
  <c r="I138" i="41"/>
  <c r="J136" i="31"/>
  <c r="J144" i="7"/>
  <c r="J141" i="5"/>
  <c r="J136" i="29"/>
  <c r="J142" i="8"/>
  <c r="J137" i="27"/>
  <c r="G142" i="4"/>
  <c r="D143" i="4"/>
  <c r="E143" i="4" s="1"/>
  <c r="G144" i="11"/>
  <c r="D145" i="11"/>
  <c r="E145" i="11" s="1"/>
  <c r="G134" i="43"/>
  <c r="D135" i="43"/>
  <c r="E135" i="43" s="1"/>
  <c r="G139" i="24"/>
  <c r="D140" i="24"/>
  <c r="E140" i="24" s="1"/>
  <c r="G134" i="37"/>
  <c r="D135" i="37"/>
  <c r="E135" i="37" s="1"/>
  <c r="G141" i="22"/>
  <c r="D142" i="22"/>
  <c r="E142" i="22" s="1"/>
  <c r="G137" i="29"/>
  <c r="D138" i="29"/>
  <c r="E138" i="29" s="1"/>
  <c r="J136" i="28"/>
  <c r="G141" i="25"/>
  <c r="D142" i="25"/>
  <c r="E142" i="25" s="1"/>
  <c r="G145" i="7"/>
  <c r="D146" i="7"/>
  <c r="E146" i="7" s="1"/>
  <c r="G143" i="8"/>
  <c r="D144" i="8"/>
  <c r="E144" i="8" s="1"/>
  <c r="G133" i="40"/>
  <c r="D134" i="40"/>
  <c r="E134" i="40"/>
  <c r="J135" i="30"/>
  <c r="J142" i="6"/>
  <c r="G142" i="5"/>
  <c r="D143" i="5"/>
  <c r="E143" i="5" s="1"/>
  <c r="G136" i="30"/>
  <c r="D137" i="30"/>
  <c r="E137" i="30" s="1"/>
  <c r="D138" i="28"/>
  <c r="E138" i="28" s="1"/>
  <c r="G137" i="28"/>
  <c r="G143" i="6"/>
  <c r="D144" i="6"/>
  <c r="E144" i="6" s="1"/>
  <c r="G144" i="9"/>
  <c r="D145" i="9"/>
  <c r="E145" i="9" s="1"/>
  <c r="G137" i="31"/>
  <c r="D138" i="31"/>
  <c r="E138" i="31" s="1"/>
  <c r="G145" i="10"/>
  <c r="D146" i="10"/>
  <c r="E146" i="10" s="1"/>
  <c r="G138" i="27"/>
  <c r="D139" i="27"/>
  <c r="E139" i="27" s="1"/>
  <c r="G134" i="39"/>
  <c r="D135" i="39"/>
  <c r="E135" i="39"/>
  <c r="G140" i="23"/>
  <c r="D141" i="23"/>
  <c r="E141" i="23" s="1"/>
  <c r="G142" i="3"/>
  <c r="D143" i="3"/>
  <c r="E143" i="3" s="1"/>
  <c r="J144" i="10"/>
  <c r="J141" i="4"/>
  <c r="J141" i="3"/>
  <c r="F136" i="57" l="1"/>
  <c r="G152" i="49"/>
  <c r="D153" i="49"/>
  <c r="B153" i="49" s="1"/>
  <c r="E153" i="49"/>
  <c r="F153" i="49" s="1"/>
  <c r="G150" i="48"/>
  <c r="D151" i="48"/>
  <c r="E151" i="48"/>
  <c r="H135" i="57"/>
  <c r="I135" i="57"/>
  <c r="I151" i="49"/>
  <c r="H151" i="49"/>
  <c r="D144" i="13"/>
  <c r="B144" i="13" s="1"/>
  <c r="G143" i="13"/>
  <c r="E139" i="55"/>
  <c r="F139" i="55" s="1"/>
  <c r="D140" i="55" s="1"/>
  <c r="B140" i="55" s="1"/>
  <c r="E136" i="46"/>
  <c r="D138" i="54"/>
  <c r="G137" i="54"/>
  <c r="H138" i="55"/>
  <c r="I138" i="55"/>
  <c r="F136" i="46"/>
  <c r="G136" i="46" s="1"/>
  <c r="H135" i="46"/>
  <c r="I135" i="46"/>
  <c r="G135" i="47"/>
  <c r="D136" i="47"/>
  <c r="E136" i="47" s="1"/>
  <c r="D137" i="45"/>
  <c r="E137" i="45" s="1"/>
  <c r="G136" i="45"/>
  <c r="E143" i="44"/>
  <c r="F143" i="44" s="1"/>
  <c r="I142" i="44"/>
  <c r="H142" i="44"/>
  <c r="I138" i="38"/>
  <c r="H138" i="38"/>
  <c r="G139" i="41"/>
  <c r="D140" i="41"/>
  <c r="B140" i="41" s="1"/>
  <c r="G138" i="42"/>
  <c r="D139" i="42"/>
  <c r="B139" i="42" s="1"/>
  <c r="E139" i="38"/>
  <c r="F139" i="38" s="1"/>
  <c r="B139" i="38"/>
  <c r="H134" i="39"/>
  <c r="I134" i="39"/>
  <c r="B143" i="3"/>
  <c r="F143" i="3"/>
  <c r="H140" i="23"/>
  <c r="I140" i="23"/>
  <c r="B146" i="10"/>
  <c r="F146" i="10"/>
  <c r="H137" i="31"/>
  <c r="I137" i="31"/>
  <c r="H137" i="28"/>
  <c r="I137" i="28"/>
  <c r="H136" i="30"/>
  <c r="I136" i="30"/>
  <c r="I133" i="40"/>
  <c r="H133" i="40"/>
  <c r="B142" i="25"/>
  <c r="F142" i="25"/>
  <c r="B138" i="29"/>
  <c r="F138" i="29"/>
  <c r="H141" i="22"/>
  <c r="I141" i="22"/>
  <c r="B135" i="43"/>
  <c r="F135" i="43"/>
  <c r="H144" i="11"/>
  <c r="I144" i="11"/>
  <c r="H142" i="3"/>
  <c r="I142" i="3"/>
  <c r="B139" i="27"/>
  <c r="F139" i="27"/>
  <c r="H145" i="10"/>
  <c r="I145" i="10"/>
  <c r="B144" i="6"/>
  <c r="F144" i="6"/>
  <c r="B138" i="28"/>
  <c r="F138" i="28"/>
  <c r="B146" i="7"/>
  <c r="F146" i="7"/>
  <c r="I141" i="25"/>
  <c r="H141" i="25"/>
  <c r="H137" i="29"/>
  <c r="I137" i="29"/>
  <c r="B140" i="24"/>
  <c r="F140" i="24"/>
  <c r="H134" i="43"/>
  <c r="I134" i="43"/>
  <c r="B135" i="39"/>
  <c r="F135" i="39"/>
  <c r="I138" i="27"/>
  <c r="H138" i="27"/>
  <c r="B145" i="9"/>
  <c r="F145" i="9"/>
  <c r="I143" i="6"/>
  <c r="H143" i="6"/>
  <c r="B143" i="5"/>
  <c r="F143" i="5"/>
  <c r="B144" i="8"/>
  <c r="F144" i="8"/>
  <c r="I145" i="7"/>
  <c r="H145" i="7"/>
  <c r="B135" i="37"/>
  <c r="F135" i="37"/>
  <c r="H139" i="24"/>
  <c r="I139" i="24"/>
  <c r="B143" i="4"/>
  <c r="F143" i="4"/>
  <c r="B141" i="23"/>
  <c r="F141" i="23"/>
  <c r="B138" i="31"/>
  <c r="F138" i="31"/>
  <c r="I144" i="9"/>
  <c r="H144" i="9"/>
  <c r="B137" i="30"/>
  <c r="F137" i="30"/>
  <c r="I142" i="5"/>
  <c r="H142" i="5"/>
  <c r="B134" i="40"/>
  <c r="F134" i="40"/>
  <c r="H143" i="8"/>
  <c r="I143" i="8"/>
  <c r="B142" i="22"/>
  <c r="F142" i="22"/>
  <c r="H134" i="37"/>
  <c r="I134" i="37"/>
  <c r="B145" i="11"/>
  <c r="F145" i="11"/>
  <c r="H142" i="4"/>
  <c r="I142" i="4"/>
  <c r="B151" i="48" l="1"/>
  <c r="F151" i="48"/>
  <c r="I150" i="48"/>
  <c r="H150" i="48"/>
  <c r="D154" i="49"/>
  <c r="G153" i="49"/>
  <c r="E154" i="49"/>
  <c r="E155" i="49" s="1"/>
  <c r="I152" i="49"/>
  <c r="H152" i="49"/>
  <c r="D137" i="57"/>
  <c r="G136" i="57"/>
  <c r="H143" i="13"/>
  <c r="I143" i="13"/>
  <c r="E144" i="13"/>
  <c r="F144" i="13" s="1"/>
  <c r="G139" i="55"/>
  <c r="I139" i="55" s="1"/>
  <c r="E139" i="42"/>
  <c r="F139" i="42" s="1"/>
  <c r="G139" i="42" s="1"/>
  <c r="D137" i="46"/>
  <c r="E140" i="55"/>
  <c r="F140" i="55" s="1"/>
  <c r="D141" i="55" s="1"/>
  <c r="I137" i="54"/>
  <c r="H137" i="54"/>
  <c r="E138" i="54"/>
  <c r="F138" i="54" s="1"/>
  <c r="B138" i="54"/>
  <c r="B136" i="47"/>
  <c r="F136" i="47"/>
  <c r="H135" i="47"/>
  <c r="I135" i="47"/>
  <c r="H136" i="46"/>
  <c r="I136" i="46"/>
  <c r="H136" i="45"/>
  <c r="I136" i="45"/>
  <c r="B137" i="45"/>
  <c r="F137" i="45"/>
  <c r="G143" i="44"/>
  <c r="D144" i="44"/>
  <c r="E140" i="41"/>
  <c r="F140" i="41" s="1"/>
  <c r="I139" i="41"/>
  <c r="H139" i="41"/>
  <c r="G139" i="38"/>
  <c r="D140" i="38"/>
  <c r="B140" i="38" s="1"/>
  <c r="H138" i="42"/>
  <c r="I138" i="42"/>
  <c r="J137" i="31"/>
  <c r="J142" i="5"/>
  <c r="J145" i="7"/>
  <c r="J136" i="30"/>
  <c r="J137" i="29"/>
  <c r="J142" i="4"/>
  <c r="J143" i="8"/>
  <c r="G141" i="23"/>
  <c r="D142" i="23"/>
  <c r="E142" i="23" s="1"/>
  <c r="G143" i="5"/>
  <c r="D144" i="5"/>
  <c r="E144" i="5" s="1"/>
  <c r="D146" i="9"/>
  <c r="E146" i="9" s="1"/>
  <c r="G145" i="9"/>
  <c r="G135" i="39"/>
  <c r="D136" i="39"/>
  <c r="E136" i="39" s="1"/>
  <c r="G140" i="24"/>
  <c r="D141" i="24"/>
  <c r="E141" i="24" s="1"/>
  <c r="G138" i="28"/>
  <c r="D139" i="28"/>
  <c r="E139" i="28" s="1"/>
  <c r="J145" i="10"/>
  <c r="J142" i="3"/>
  <c r="G135" i="43"/>
  <c r="D136" i="43"/>
  <c r="E136" i="43" s="1"/>
  <c r="G138" i="29"/>
  <c r="D139" i="29"/>
  <c r="E139" i="29" s="1"/>
  <c r="J137" i="28"/>
  <c r="D147" i="10"/>
  <c r="E147" i="10" s="1"/>
  <c r="G146" i="10"/>
  <c r="G143" i="3"/>
  <c r="D144" i="3"/>
  <c r="E144" i="3" s="1"/>
  <c r="G145" i="11"/>
  <c r="D146" i="11"/>
  <c r="E146" i="11" s="1"/>
  <c r="G142" i="22"/>
  <c r="D143" i="22"/>
  <c r="E143" i="22" s="1"/>
  <c r="G134" i="40"/>
  <c r="D135" i="40"/>
  <c r="E135" i="40" s="1"/>
  <c r="G137" i="30"/>
  <c r="D138" i="30"/>
  <c r="E138" i="30" s="1"/>
  <c r="G138" i="31"/>
  <c r="D139" i="31"/>
  <c r="E139" i="31" s="1"/>
  <c r="G143" i="4"/>
  <c r="D144" i="4"/>
  <c r="E144" i="4" s="1"/>
  <c r="G135" i="37"/>
  <c r="D136" i="37"/>
  <c r="E136" i="37" s="1"/>
  <c r="D145" i="8"/>
  <c r="E145" i="8" s="1"/>
  <c r="G144" i="8"/>
  <c r="G146" i="7"/>
  <c r="D147" i="7"/>
  <c r="E147" i="7" s="1"/>
  <c r="G144" i="6"/>
  <c r="D145" i="6"/>
  <c r="E145" i="6" s="1"/>
  <c r="G139" i="27"/>
  <c r="D140" i="27"/>
  <c r="E140" i="27" s="1"/>
  <c r="G142" i="25"/>
  <c r="D143" i="25"/>
  <c r="E143" i="25" s="1"/>
  <c r="J143" i="6"/>
  <c r="J138" i="27"/>
  <c r="H139" i="55" l="1"/>
  <c r="H153" i="49"/>
  <c r="I153" i="49"/>
  <c r="B154" i="49"/>
  <c r="F154" i="49"/>
  <c r="G154" i="49" s="1"/>
  <c r="H136" i="57"/>
  <c r="I136" i="57"/>
  <c r="E137" i="57"/>
  <c r="F137" i="57" s="1"/>
  <c r="B137" i="57"/>
  <c r="D152" i="48"/>
  <c r="B152" i="48" s="1"/>
  <c r="G151" i="48"/>
  <c r="E152" i="48"/>
  <c r="F152" i="48" s="1"/>
  <c r="G144" i="13"/>
  <c r="D145" i="13"/>
  <c r="B145" i="13" s="1"/>
  <c r="B137" i="46"/>
  <c r="E137" i="46"/>
  <c r="F137" i="46" s="1"/>
  <c r="G137" i="46" s="1"/>
  <c r="G140" i="55"/>
  <c r="I140" i="55" s="1"/>
  <c r="B141" i="55"/>
  <c r="E141" i="55"/>
  <c r="F141" i="55" s="1"/>
  <c r="G141" i="55" s="1"/>
  <c r="D139" i="54"/>
  <c r="G138" i="54"/>
  <c r="D137" i="47"/>
  <c r="E137" i="47" s="1"/>
  <c r="G136" i="47"/>
  <c r="D138" i="45"/>
  <c r="E138" i="45" s="1"/>
  <c r="G137" i="45"/>
  <c r="D140" i="42"/>
  <c r="B140" i="42" s="1"/>
  <c r="E144" i="44"/>
  <c r="F144" i="44" s="1"/>
  <c r="B144" i="44"/>
  <c r="I143" i="44"/>
  <c r="H143" i="44"/>
  <c r="E140" i="38"/>
  <c r="F140" i="38" s="1"/>
  <c r="D141" i="38" s="1"/>
  <c r="B141" i="38" s="1"/>
  <c r="G140" i="41"/>
  <c r="D141" i="41"/>
  <c r="H139" i="42"/>
  <c r="I139" i="42"/>
  <c r="H139" i="38"/>
  <c r="I139" i="38"/>
  <c r="I142" i="25"/>
  <c r="H142" i="25"/>
  <c r="B145" i="8"/>
  <c r="F145" i="8"/>
  <c r="B145" i="6"/>
  <c r="F145" i="6"/>
  <c r="H146" i="7"/>
  <c r="I146" i="7"/>
  <c r="B144" i="4"/>
  <c r="F144" i="4"/>
  <c r="H138" i="31"/>
  <c r="I138" i="31"/>
  <c r="B143" i="22"/>
  <c r="F143" i="22"/>
  <c r="H145" i="11"/>
  <c r="I145" i="11"/>
  <c r="B136" i="43"/>
  <c r="F136" i="43"/>
  <c r="F141" i="24"/>
  <c r="B141" i="24"/>
  <c r="H135" i="39"/>
  <c r="I135" i="39"/>
  <c r="B142" i="23"/>
  <c r="F142" i="23"/>
  <c r="B136" i="37"/>
  <c r="F136" i="37"/>
  <c r="B135" i="40"/>
  <c r="F135" i="40"/>
  <c r="I142" i="22"/>
  <c r="H142" i="22"/>
  <c r="H146" i="10"/>
  <c r="I146" i="10"/>
  <c r="B139" i="29"/>
  <c r="F139" i="29"/>
  <c r="I135" i="43"/>
  <c r="H135" i="43"/>
  <c r="B139" i="28"/>
  <c r="F139" i="28"/>
  <c r="I140" i="24"/>
  <c r="H140" i="24"/>
  <c r="B144" i="5"/>
  <c r="F144" i="5"/>
  <c r="H141" i="23"/>
  <c r="I141" i="23"/>
  <c r="B140" i="27"/>
  <c r="F140" i="27"/>
  <c r="H144" i="6"/>
  <c r="I144" i="6"/>
  <c r="H143" i="4"/>
  <c r="I143" i="4"/>
  <c r="B143" i="25"/>
  <c r="F143" i="25"/>
  <c r="H139" i="27"/>
  <c r="I139" i="27"/>
  <c r="H144" i="8"/>
  <c r="I144" i="8"/>
  <c r="H135" i="37"/>
  <c r="I135" i="37"/>
  <c r="B138" i="30"/>
  <c r="F138" i="30"/>
  <c r="H134" i="40"/>
  <c r="I134" i="40"/>
  <c r="B144" i="3"/>
  <c r="F144" i="3"/>
  <c r="B147" i="10"/>
  <c r="F147" i="10"/>
  <c r="H138" i="29"/>
  <c r="I138" i="29"/>
  <c r="I138" i="28"/>
  <c r="H138" i="28"/>
  <c r="H145" i="9"/>
  <c r="I145" i="9"/>
  <c r="H143" i="5"/>
  <c r="I143" i="5"/>
  <c r="B147" i="7"/>
  <c r="F147" i="7"/>
  <c r="B139" i="31"/>
  <c r="F139" i="31"/>
  <c r="H137" i="30"/>
  <c r="I137" i="30"/>
  <c r="B146" i="11"/>
  <c r="F146" i="11"/>
  <c r="H143" i="3"/>
  <c r="I143" i="3"/>
  <c r="B136" i="39"/>
  <c r="F136" i="39"/>
  <c r="B146" i="9"/>
  <c r="F146" i="9"/>
  <c r="G137" i="57" l="1"/>
  <c r="D138" i="57"/>
  <c r="G152" i="48"/>
  <c r="D153" i="48"/>
  <c r="B153" i="48" s="1"/>
  <c r="I154" i="49"/>
  <c r="I155" i="49" s="1"/>
  <c r="H154" i="49"/>
  <c r="H155" i="49" s="1"/>
  <c r="I151" i="48"/>
  <c r="H151" i="48"/>
  <c r="H144" i="13"/>
  <c r="I144" i="13"/>
  <c r="E145" i="13"/>
  <c r="F145" i="13" s="1"/>
  <c r="D142" i="55"/>
  <c r="B142" i="55" s="1"/>
  <c r="I137" i="46"/>
  <c r="H137" i="46"/>
  <c r="H140" i="55"/>
  <c r="D138" i="46"/>
  <c r="E139" i="54"/>
  <c r="F139" i="54" s="1"/>
  <c r="B139" i="54"/>
  <c r="I138" i="54"/>
  <c r="H138" i="54"/>
  <c r="H141" i="55"/>
  <c r="I141" i="55"/>
  <c r="I136" i="47"/>
  <c r="H136" i="47"/>
  <c r="F137" i="47"/>
  <c r="B137" i="47"/>
  <c r="B138" i="45"/>
  <c r="F138" i="45"/>
  <c r="I137" i="45"/>
  <c r="H137" i="45"/>
  <c r="E140" i="42"/>
  <c r="F140" i="42" s="1"/>
  <c r="G144" i="44"/>
  <c r="D145" i="44"/>
  <c r="E141" i="38"/>
  <c r="F141" i="38" s="1"/>
  <c r="G141" i="38" s="1"/>
  <c r="G140" i="38"/>
  <c r="H140" i="38" s="1"/>
  <c r="E141" i="41"/>
  <c r="F141" i="41" s="1"/>
  <c r="B141" i="41"/>
  <c r="H140" i="41"/>
  <c r="I140" i="41"/>
  <c r="J138" i="28"/>
  <c r="G146" i="9"/>
  <c r="D147" i="9"/>
  <c r="E147" i="9" s="1"/>
  <c r="J143" i="3"/>
  <c r="J137" i="30"/>
  <c r="G147" i="7"/>
  <c r="D148" i="7"/>
  <c r="E148" i="7" s="1"/>
  <c r="J138" i="29"/>
  <c r="G144" i="3"/>
  <c r="D145" i="3"/>
  <c r="E145" i="3" s="1"/>
  <c r="G138" i="30"/>
  <c r="D139" i="30"/>
  <c r="E139" i="30" s="1"/>
  <c r="J144" i="8"/>
  <c r="G143" i="25"/>
  <c r="D144" i="25"/>
  <c r="E144" i="25" s="1"/>
  <c r="J144" i="6"/>
  <c r="J146" i="10"/>
  <c r="G135" i="40"/>
  <c r="D136" i="40"/>
  <c r="E136" i="40" s="1"/>
  <c r="G142" i="23"/>
  <c r="D143" i="23"/>
  <c r="E143" i="23" s="1"/>
  <c r="J138" i="31"/>
  <c r="J146" i="7"/>
  <c r="G145" i="8"/>
  <c r="D146" i="8"/>
  <c r="E146" i="8" s="1"/>
  <c r="G141" i="24"/>
  <c r="D142" i="24"/>
  <c r="E142" i="24" s="1"/>
  <c r="G136" i="39"/>
  <c r="D137" i="39"/>
  <c r="E137" i="39" s="1"/>
  <c r="G146" i="11"/>
  <c r="D147" i="11"/>
  <c r="E147" i="11" s="1"/>
  <c r="G139" i="31"/>
  <c r="D140" i="31"/>
  <c r="E140" i="31" s="1"/>
  <c r="J143" i="5"/>
  <c r="G147" i="10"/>
  <c r="D148" i="10"/>
  <c r="E148" i="10" s="1"/>
  <c r="J139" i="27"/>
  <c r="J143" i="4"/>
  <c r="G140" i="27"/>
  <c r="D141" i="27"/>
  <c r="E141" i="27" s="1"/>
  <c r="G144" i="5"/>
  <c r="D145" i="5"/>
  <c r="E145" i="5" s="1"/>
  <c r="G139" i="28"/>
  <c r="D140" i="28"/>
  <c r="E140" i="28" s="1"/>
  <c r="D140" i="29"/>
  <c r="E140" i="29" s="1"/>
  <c r="G139" i="29"/>
  <c r="G136" i="37"/>
  <c r="D137" i="37"/>
  <c r="E137" i="37" s="1"/>
  <c r="G136" i="43"/>
  <c r="D137" i="43"/>
  <c r="E137" i="43" s="1"/>
  <c r="G143" i="22"/>
  <c r="D144" i="22"/>
  <c r="E144" i="22" s="1"/>
  <c r="G144" i="4"/>
  <c r="D145" i="4"/>
  <c r="E145" i="4" s="1"/>
  <c r="G145" i="6"/>
  <c r="D146" i="6"/>
  <c r="E146" i="6" s="1"/>
  <c r="E153" i="48" l="1"/>
  <c r="F153" i="48" s="1"/>
  <c r="H152" i="48"/>
  <c r="I152" i="48"/>
  <c r="E138" i="57"/>
  <c r="F138" i="57"/>
  <c r="B138" i="57"/>
  <c r="H137" i="57"/>
  <c r="I137" i="57"/>
  <c r="E142" i="55"/>
  <c r="F142" i="55" s="1"/>
  <c r="D146" i="13"/>
  <c r="B146" i="13" s="1"/>
  <c r="G145" i="13"/>
  <c r="E146" i="13"/>
  <c r="F146" i="13" s="1"/>
  <c r="E138" i="46"/>
  <c r="F138" i="46" s="1"/>
  <c r="B138" i="46"/>
  <c r="D143" i="55"/>
  <c r="B143" i="55" s="1"/>
  <c r="G142" i="55"/>
  <c r="G139" i="54"/>
  <c r="D140" i="54"/>
  <c r="G137" i="47"/>
  <c r="D138" i="47"/>
  <c r="E138" i="47" s="1"/>
  <c r="G138" i="45"/>
  <c r="D139" i="45"/>
  <c r="E139" i="45" s="1"/>
  <c r="D141" i="42"/>
  <c r="B141" i="42" s="1"/>
  <c r="G140" i="42"/>
  <c r="I140" i="42" s="1"/>
  <c r="I140" i="38"/>
  <c r="E145" i="44"/>
  <c r="F145" i="44" s="1"/>
  <c r="B145" i="44"/>
  <c r="H144" i="44"/>
  <c r="I144" i="44"/>
  <c r="D142" i="38"/>
  <c r="B142" i="38" s="1"/>
  <c r="G141" i="41"/>
  <c r="D142" i="41"/>
  <c r="B142" i="41" s="1"/>
  <c r="I141" i="38"/>
  <c r="H141" i="38"/>
  <c r="H140" i="42"/>
  <c r="B146" i="6"/>
  <c r="F146" i="6"/>
  <c r="H144" i="4"/>
  <c r="I144" i="4"/>
  <c r="B137" i="37"/>
  <c r="F137" i="37"/>
  <c r="B140" i="29"/>
  <c r="F140" i="29"/>
  <c r="B141" i="27"/>
  <c r="F141" i="27"/>
  <c r="B147" i="11"/>
  <c r="F147" i="11"/>
  <c r="H136" i="39"/>
  <c r="I136" i="39"/>
  <c r="B148" i="10"/>
  <c r="F148" i="10"/>
  <c r="B140" i="31"/>
  <c r="F140" i="31"/>
  <c r="I146" i="11"/>
  <c r="H146" i="11"/>
  <c r="B146" i="8"/>
  <c r="F146" i="8"/>
  <c r="B136" i="40"/>
  <c r="F136" i="40"/>
  <c r="B145" i="3"/>
  <c r="F145" i="3"/>
  <c r="B148" i="7"/>
  <c r="F148" i="7"/>
  <c r="B137" i="43"/>
  <c r="F137" i="43"/>
  <c r="H136" i="37"/>
  <c r="I136" i="37"/>
  <c r="H140" i="27"/>
  <c r="I140" i="27"/>
  <c r="B140" i="28"/>
  <c r="F140" i="28"/>
  <c r="H144" i="5"/>
  <c r="I144" i="5"/>
  <c r="H147" i="10"/>
  <c r="I147" i="10"/>
  <c r="H139" i="31"/>
  <c r="I139" i="31"/>
  <c r="B142" i="24"/>
  <c r="F142" i="24"/>
  <c r="H145" i="8"/>
  <c r="I145" i="8"/>
  <c r="B143" i="23"/>
  <c r="F143" i="23"/>
  <c r="H135" i="40"/>
  <c r="I135" i="40"/>
  <c r="B144" i="25"/>
  <c r="F144" i="25"/>
  <c r="B139" i="30"/>
  <c r="F139" i="30"/>
  <c r="H144" i="3"/>
  <c r="I144" i="3"/>
  <c r="H147" i="7"/>
  <c r="I147" i="7"/>
  <c r="B147" i="9"/>
  <c r="F147" i="9"/>
  <c r="H145" i="6"/>
  <c r="I145" i="6"/>
  <c r="B145" i="5"/>
  <c r="F145" i="5"/>
  <c r="B144" i="22"/>
  <c r="F144" i="22"/>
  <c r="I136" i="43"/>
  <c r="H136" i="43"/>
  <c r="B145" i="4"/>
  <c r="F145" i="4"/>
  <c r="I143" i="22"/>
  <c r="H143" i="22"/>
  <c r="H139" i="29"/>
  <c r="I139" i="29"/>
  <c r="H139" i="28"/>
  <c r="I139" i="28"/>
  <c r="B137" i="39"/>
  <c r="F137" i="39"/>
  <c r="H141" i="24"/>
  <c r="I141" i="24"/>
  <c r="I142" i="23"/>
  <c r="H142" i="23"/>
  <c r="H143" i="25"/>
  <c r="I143" i="25"/>
  <c r="I138" i="30"/>
  <c r="H138" i="30"/>
  <c r="I146" i="9"/>
  <c r="H146" i="9"/>
  <c r="D139" i="57" l="1"/>
  <c r="B139" i="57" s="1"/>
  <c r="G138" i="57"/>
  <c r="E139" i="57"/>
  <c r="F139" i="57" s="1"/>
  <c r="D154" i="48"/>
  <c r="E154" i="48" s="1"/>
  <c r="E155" i="48" s="1"/>
  <c r="G153" i="48"/>
  <c r="G146" i="13"/>
  <c r="D147" i="13"/>
  <c r="B147" i="13" s="1"/>
  <c r="H145" i="13"/>
  <c r="I145" i="13"/>
  <c r="D139" i="46"/>
  <c r="G138" i="46"/>
  <c r="H139" i="54"/>
  <c r="I139" i="54"/>
  <c r="E143" i="55"/>
  <c r="F143" i="55" s="1"/>
  <c r="H142" i="55"/>
  <c r="I142" i="55"/>
  <c r="E140" i="54"/>
  <c r="F140" i="54" s="1"/>
  <c r="B140" i="54"/>
  <c r="F138" i="47"/>
  <c r="B138" i="47"/>
  <c r="I137" i="47"/>
  <c r="H137" i="47"/>
  <c r="B139" i="45"/>
  <c r="F139" i="45"/>
  <c r="E141" i="42"/>
  <c r="F141" i="42" s="1"/>
  <c r="D142" i="42" s="1"/>
  <c r="I138" i="45"/>
  <c r="H138" i="45"/>
  <c r="E142" i="38"/>
  <c r="F142" i="38" s="1"/>
  <c r="G142" i="38" s="1"/>
  <c r="D146" i="44"/>
  <c r="G145" i="44"/>
  <c r="E142" i="41"/>
  <c r="F142" i="41" s="1"/>
  <c r="G142" i="41" s="1"/>
  <c r="I141" i="41"/>
  <c r="H141" i="41"/>
  <c r="J144" i="4"/>
  <c r="J138" i="30"/>
  <c r="J139" i="28"/>
  <c r="D146" i="5"/>
  <c r="E146" i="5" s="1"/>
  <c r="G145" i="5"/>
  <c r="G147" i="9"/>
  <c r="D148" i="9"/>
  <c r="E148" i="9" s="1"/>
  <c r="J144" i="3"/>
  <c r="G144" i="25"/>
  <c r="D145" i="25"/>
  <c r="E145" i="25" s="1"/>
  <c r="G143" i="23"/>
  <c r="D144" i="23"/>
  <c r="E144" i="23" s="1"/>
  <c r="G142" i="24"/>
  <c r="D143" i="24"/>
  <c r="E143" i="24" s="1"/>
  <c r="J147" i="10"/>
  <c r="G140" i="28"/>
  <c r="D141" i="28"/>
  <c r="E141" i="28" s="1"/>
  <c r="G148" i="7"/>
  <c r="D149" i="7"/>
  <c r="E149" i="7" s="1"/>
  <c r="G136" i="40"/>
  <c r="D137" i="40"/>
  <c r="E137" i="40" s="1"/>
  <c r="G148" i="10"/>
  <c r="D149" i="10"/>
  <c r="E149" i="10" s="1"/>
  <c r="D148" i="11"/>
  <c r="E148" i="11" s="1"/>
  <c r="G147" i="11"/>
  <c r="G140" i="29"/>
  <c r="D141" i="29"/>
  <c r="E141" i="29" s="1"/>
  <c r="G137" i="39"/>
  <c r="D138" i="39"/>
  <c r="E138" i="39" s="1"/>
  <c r="J139" i="29"/>
  <c r="G145" i="4"/>
  <c r="D146" i="4"/>
  <c r="E146" i="4" s="1"/>
  <c r="G144" i="22"/>
  <c r="D145" i="22"/>
  <c r="E145" i="22" s="1"/>
  <c r="J145" i="6"/>
  <c r="J147" i="7"/>
  <c r="G139" i="30"/>
  <c r="D140" i="30"/>
  <c r="E140" i="30" s="1"/>
  <c r="J145" i="8"/>
  <c r="J139" i="31"/>
  <c r="J144" i="5"/>
  <c r="J140" i="27"/>
  <c r="G137" i="43"/>
  <c r="D138" i="43"/>
  <c r="E138" i="43" s="1"/>
  <c r="G145" i="3"/>
  <c r="D146" i="3"/>
  <c r="E146" i="3" s="1"/>
  <c r="G146" i="8"/>
  <c r="D147" i="8"/>
  <c r="E147" i="8" s="1"/>
  <c r="G140" i="31"/>
  <c r="D141" i="31"/>
  <c r="E141" i="31" s="1"/>
  <c r="G141" i="27"/>
  <c r="D142" i="27"/>
  <c r="E142" i="27" s="1"/>
  <c r="G137" i="37"/>
  <c r="D138" i="37"/>
  <c r="E138" i="37" s="1"/>
  <c r="G146" i="6"/>
  <c r="D147" i="6"/>
  <c r="E147" i="6" s="1"/>
  <c r="H153" i="48" l="1"/>
  <c r="I153" i="48"/>
  <c r="G139" i="57"/>
  <c r="D140" i="57"/>
  <c r="B140" i="57" s="1"/>
  <c r="E140" i="57"/>
  <c r="F140" i="57" s="1"/>
  <c r="H138" i="57"/>
  <c r="I138" i="57"/>
  <c r="B154" i="48"/>
  <c r="F154" i="48"/>
  <c r="G154" i="48" s="1"/>
  <c r="E147" i="13"/>
  <c r="F147" i="13" s="1"/>
  <c r="I146" i="13"/>
  <c r="H146" i="13"/>
  <c r="H138" i="46"/>
  <c r="I138" i="46"/>
  <c r="E139" i="46"/>
  <c r="F139" i="46"/>
  <c r="B139" i="46"/>
  <c r="D141" i="54"/>
  <c r="B141" i="54" s="1"/>
  <c r="G140" i="54"/>
  <c r="G143" i="55"/>
  <c r="D144" i="55"/>
  <c r="B144" i="55" s="1"/>
  <c r="G138" i="47"/>
  <c r="D139" i="47"/>
  <c r="E139" i="47" s="1"/>
  <c r="G141" i="42"/>
  <c r="I141" i="42" s="1"/>
  <c r="G139" i="45"/>
  <c r="D140" i="45"/>
  <c r="D143" i="38"/>
  <c r="B143" i="38" s="1"/>
  <c r="I145" i="44"/>
  <c r="H145" i="44"/>
  <c r="E146" i="44"/>
  <c r="F146" i="44" s="1"/>
  <c r="B146" i="44"/>
  <c r="D143" i="41"/>
  <c r="B143" i="41" s="1"/>
  <c r="E142" i="42"/>
  <c r="F142" i="42" s="1"/>
  <c r="B142" i="42"/>
  <c r="H142" i="38"/>
  <c r="I142" i="38"/>
  <c r="H142" i="41"/>
  <c r="I142" i="41"/>
  <c r="H146" i="6"/>
  <c r="I146" i="6"/>
  <c r="B146" i="4"/>
  <c r="F146" i="4"/>
  <c r="B138" i="43"/>
  <c r="F138" i="43"/>
  <c r="H139" i="30"/>
  <c r="I139" i="30"/>
  <c r="H145" i="4"/>
  <c r="I145" i="4"/>
  <c r="I137" i="39"/>
  <c r="H137" i="39"/>
  <c r="B138" i="37"/>
  <c r="F138" i="37"/>
  <c r="H141" i="27"/>
  <c r="I141" i="27"/>
  <c r="B146" i="3"/>
  <c r="F146" i="3"/>
  <c r="I137" i="43"/>
  <c r="H137" i="43"/>
  <c r="I144" i="22"/>
  <c r="H144" i="22"/>
  <c r="I147" i="11"/>
  <c r="H147" i="11"/>
  <c r="I148" i="10"/>
  <c r="H148" i="10"/>
  <c r="B141" i="28"/>
  <c r="F141" i="28"/>
  <c r="B143" i="24"/>
  <c r="F143" i="24"/>
  <c r="H143" i="23"/>
  <c r="I143" i="23"/>
  <c r="B141" i="31"/>
  <c r="F141" i="31"/>
  <c r="I146" i="8"/>
  <c r="H146" i="8"/>
  <c r="B142" i="27"/>
  <c r="F142" i="27"/>
  <c r="H140" i="31"/>
  <c r="I140" i="31"/>
  <c r="B147" i="6"/>
  <c r="F147" i="6"/>
  <c r="H137" i="37"/>
  <c r="I137" i="37"/>
  <c r="B147" i="8"/>
  <c r="F147" i="8"/>
  <c r="H145" i="3"/>
  <c r="I145" i="3"/>
  <c r="B141" i="29"/>
  <c r="F141" i="29"/>
  <c r="B148" i="11"/>
  <c r="F148" i="11"/>
  <c r="B149" i="7"/>
  <c r="F149" i="7"/>
  <c r="H140" i="28"/>
  <c r="I140" i="28"/>
  <c r="I142" i="24"/>
  <c r="H142" i="24"/>
  <c r="H145" i="5"/>
  <c r="I145" i="5"/>
  <c r="B140" i="30"/>
  <c r="F140" i="30"/>
  <c r="B138" i="39"/>
  <c r="F138" i="39"/>
  <c r="H140" i="29"/>
  <c r="I140" i="29"/>
  <c r="B137" i="40"/>
  <c r="F137" i="40"/>
  <c r="I148" i="7"/>
  <c r="H148" i="7"/>
  <c r="B145" i="25"/>
  <c r="F145" i="25"/>
  <c r="B148" i="9"/>
  <c r="F148" i="9"/>
  <c r="B146" i="5"/>
  <c r="F146" i="5"/>
  <c r="B145" i="22"/>
  <c r="F145" i="22"/>
  <c r="B149" i="10"/>
  <c r="F149" i="10"/>
  <c r="I136" i="40"/>
  <c r="H136" i="40"/>
  <c r="B144" i="23"/>
  <c r="F144" i="23"/>
  <c r="I144" i="25"/>
  <c r="H144" i="25"/>
  <c r="H147" i="9"/>
  <c r="I147" i="9"/>
  <c r="D141" i="57" l="1"/>
  <c r="B141" i="57" s="1"/>
  <c r="G140" i="57"/>
  <c r="E141" i="57"/>
  <c r="F141" i="57" s="1"/>
  <c r="H139" i="57"/>
  <c r="I139" i="57"/>
  <c r="I154" i="48"/>
  <c r="I155" i="48" s="1"/>
  <c r="H154" i="48"/>
  <c r="H155" i="48" s="1"/>
  <c r="G147" i="13"/>
  <c r="D148" i="13"/>
  <c r="B148" i="13" s="1"/>
  <c r="D140" i="46"/>
  <c r="G139" i="46"/>
  <c r="E141" i="54"/>
  <c r="F141" i="54" s="1"/>
  <c r="G141" i="54" s="1"/>
  <c r="E144" i="55"/>
  <c r="F144" i="55" s="1"/>
  <c r="I143" i="55"/>
  <c r="H143" i="55"/>
  <c r="I140" i="54"/>
  <c r="H140" i="54"/>
  <c r="F139" i="47"/>
  <c r="B139" i="47"/>
  <c r="I138" i="47"/>
  <c r="H138" i="47"/>
  <c r="H141" i="42"/>
  <c r="E140" i="45"/>
  <c r="F140" i="45" s="1"/>
  <c r="B140" i="45"/>
  <c r="I139" i="45"/>
  <c r="H139" i="45"/>
  <c r="E143" i="38"/>
  <c r="F143" i="38" s="1"/>
  <c r="G143" i="38" s="1"/>
  <c r="E143" i="41"/>
  <c r="F143" i="41" s="1"/>
  <c r="D144" i="41" s="1"/>
  <c r="D147" i="44"/>
  <c r="G146" i="44"/>
  <c r="G142" i="42"/>
  <c r="D143" i="42"/>
  <c r="B143" i="42" s="1"/>
  <c r="J145" i="4"/>
  <c r="J146" i="6"/>
  <c r="J148" i="7"/>
  <c r="J146" i="8"/>
  <c r="G144" i="23"/>
  <c r="D145" i="23"/>
  <c r="E145" i="23" s="1"/>
  <c r="G149" i="10"/>
  <c r="D150" i="10"/>
  <c r="E150" i="10" s="1"/>
  <c r="G146" i="5"/>
  <c r="D147" i="5"/>
  <c r="E147" i="5" s="1"/>
  <c r="G145" i="25"/>
  <c r="D146" i="25"/>
  <c r="E146" i="25" s="1"/>
  <c r="G137" i="40"/>
  <c r="D138" i="40"/>
  <c r="E138" i="40" s="1"/>
  <c r="G138" i="39"/>
  <c r="D139" i="39"/>
  <c r="E139" i="39" s="1"/>
  <c r="J145" i="5"/>
  <c r="J140" i="28"/>
  <c r="G148" i="11"/>
  <c r="D149" i="11"/>
  <c r="E149" i="11" s="1"/>
  <c r="J145" i="3"/>
  <c r="J140" i="31"/>
  <c r="G141" i="28"/>
  <c r="D142" i="28"/>
  <c r="E142" i="28" s="1"/>
  <c r="J141" i="27"/>
  <c r="J139" i="30"/>
  <c r="G146" i="4"/>
  <c r="D147" i="4"/>
  <c r="E147" i="4" s="1"/>
  <c r="G145" i="22"/>
  <c r="D146" i="22"/>
  <c r="E146" i="22" s="1"/>
  <c r="G148" i="9"/>
  <c r="D149" i="9"/>
  <c r="E149" i="9" s="1"/>
  <c r="J140" i="29"/>
  <c r="G140" i="30"/>
  <c r="D141" i="30"/>
  <c r="E141" i="30" s="1"/>
  <c r="G149" i="7"/>
  <c r="D150" i="7"/>
  <c r="E150" i="7" s="1"/>
  <c r="G141" i="29"/>
  <c r="D142" i="29"/>
  <c r="E142" i="29" s="1"/>
  <c r="G147" i="8"/>
  <c r="D148" i="8"/>
  <c r="E148" i="8" s="1"/>
  <c r="G147" i="6"/>
  <c r="D148" i="6"/>
  <c r="E148" i="6" s="1"/>
  <c r="G142" i="27"/>
  <c r="D143" i="27"/>
  <c r="E143" i="27" s="1"/>
  <c r="G141" i="31"/>
  <c r="D142" i="31"/>
  <c r="E142" i="31" s="1"/>
  <c r="G143" i="24"/>
  <c r="D144" i="24"/>
  <c r="E144" i="24" s="1"/>
  <c r="G146" i="3"/>
  <c r="D147" i="3"/>
  <c r="G138" i="37"/>
  <c r="D139" i="37"/>
  <c r="E139" i="37" s="1"/>
  <c r="G138" i="43"/>
  <c r="D139" i="43"/>
  <c r="E139" i="43" s="1"/>
  <c r="J148" i="10"/>
  <c r="D142" i="57" l="1"/>
  <c r="B142" i="57" s="1"/>
  <c r="G141" i="57"/>
  <c r="I140" i="57"/>
  <c r="H140" i="57"/>
  <c r="E148" i="13"/>
  <c r="F148" i="13" s="1"/>
  <c r="I147" i="13"/>
  <c r="H147" i="13"/>
  <c r="I139" i="46"/>
  <c r="H139" i="46"/>
  <c r="B140" i="46"/>
  <c r="E140" i="46"/>
  <c r="F140" i="46" s="1"/>
  <c r="D142" i="54"/>
  <c r="B142" i="54" s="1"/>
  <c r="H141" i="54"/>
  <c r="I141" i="54"/>
  <c r="D145" i="55"/>
  <c r="B145" i="55" s="1"/>
  <c r="G144" i="55"/>
  <c r="G139" i="47"/>
  <c r="D140" i="47"/>
  <c r="E140" i="47" s="1"/>
  <c r="G140" i="45"/>
  <c r="D141" i="45"/>
  <c r="B141" i="45" s="1"/>
  <c r="D144" i="38"/>
  <c r="B144" i="38" s="1"/>
  <c r="G143" i="41"/>
  <c r="I143" i="41" s="1"/>
  <c r="I146" i="44"/>
  <c r="H146" i="44"/>
  <c r="E147" i="44"/>
  <c r="F147" i="44" s="1"/>
  <c r="B147" i="44"/>
  <c r="E143" i="42"/>
  <c r="F143" i="42" s="1"/>
  <c r="D144" i="42" s="1"/>
  <c r="H143" i="38"/>
  <c r="I143" i="38"/>
  <c r="E144" i="41"/>
  <c r="F144" i="41" s="1"/>
  <c r="B144" i="41"/>
  <c r="I142" i="42"/>
  <c r="H142" i="42"/>
  <c r="B147" i="3"/>
  <c r="B143" i="27"/>
  <c r="F143" i="27"/>
  <c r="H147" i="6"/>
  <c r="I147" i="6"/>
  <c r="B139" i="43"/>
  <c r="F139" i="43"/>
  <c r="I138" i="37"/>
  <c r="H138" i="37"/>
  <c r="B142" i="31"/>
  <c r="F142" i="31"/>
  <c r="H142" i="27"/>
  <c r="I142" i="27"/>
  <c r="B142" i="29"/>
  <c r="F142" i="29"/>
  <c r="H149" i="7"/>
  <c r="I149" i="7"/>
  <c r="B147" i="4"/>
  <c r="F147" i="4"/>
  <c r="I138" i="39"/>
  <c r="H138" i="39"/>
  <c r="B147" i="5"/>
  <c r="F147" i="5"/>
  <c r="H149" i="10"/>
  <c r="I149" i="10"/>
  <c r="B139" i="37"/>
  <c r="F139" i="37"/>
  <c r="H146" i="3"/>
  <c r="I146" i="3"/>
  <c r="I138" i="43"/>
  <c r="H138" i="43"/>
  <c r="E147" i="3"/>
  <c r="F147" i="3" s="1"/>
  <c r="B144" i="24"/>
  <c r="F144" i="24"/>
  <c r="H141" i="31"/>
  <c r="I141" i="31"/>
  <c r="B148" i="8"/>
  <c r="F148" i="8"/>
  <c r="H141" i="29"/>
  <c r="I141" i="29"/>
  <c r="B146" i="22"/>
  <c r="F146" i="22"/>
  <c r="H146" i="4"/>
  <c r="I146" i="4"/>
  <c r="F142" i="28"/>
  <c r="B142" i="28"/>
  <c r="B146" i="25"/>
  <c r="F146" i="25"/>
  <c r="I146" i="5"/>
  <c r="H146" i="5"/>
  <c r="B148" i="6"/>
  <c r="F148" i="6"/>
  <c r="H147" i="8"/>
  <c r="I147" i="8"/>
  <c r="B141" i="30"/>
  <c r="F141" i="30"/>
  <c r="B149" i="9"/>
  <c r="F149" i="9"/>
  <c r="H145" i="22"/>
  <c r="I145" i="22"/>
  <c r="H141" i="28"/>
  <c r="I141" i="28"/>
  <c r="B149" i="11"/>
  <c r="F149" i="11"/>
  <c r="B138" i="40"/>
  <c r="F138" i="40"/>
  <c r="I145" i="25"/>
  <c r="H145" i="25"/>
  <c r="B145" i="23"/>
  <c r="F145" i="23"/>
  <c r="H143" i="24"/>
  <c r="I143" i="24"/>
  <c r="B150" i="7"/>
  <c r="F150" i="7"/>
  <c r="I140" i="30"/>
  <c r="H140" i="30"/>
  <c r="I148" i="9"/>
  <c r="H148" i="9"/>
  <c r="I148" i="11"/>
  <c r="H148" i="11"/>
  <c r="B139" i="39"/>
  <c r="F139" i="39"/>
  <c r="H137" i="40"/>
  <c r="I137" i="40"/>
  <c r="B150" i="10"/>
  <c r="F150" i="10"/>
  <c r="I144" i="23"/>
  <c r="H144" i="23"/>
  <c r="H141" i="57" l="1"/>
  <c r="I141" i="57"/>
  <c r="E142" i="57"/>
  <c r="F142" i="57" s="1"/>
  <c r="G148" i="13"/>
  <c r="D149" i="13"/>
  <c r="B149" i="13" s="1"/>
  <c r="E142" i="54"/>
  <c r="F142" i="54" s="1"/>
  <c r="G142" i="54" s="1"/>
  <c r="H142" i="54" s="1"/>
  <c r="G140" i="46"/>
  <c r="D141" i="46"/>
  <c r="B141" i="46" s="1"/>
  <c r="D143" i="54"/>
  <c r="B143" i="54" s="1"/>
  <c r="E145" i="55"/>
  <c r="F145" i="55" s="1"/>
  <c r="G145" i="55" s="1"/>
  <c r="I144" i="55"/>
  <c r="H144" i="55"/>
  <c r="H139" i="47"/>
  <c r="I139" i="47"/>
  <c r="F140" i="47"/>
  <c r="B140" i="47"/>
  <c r="H143" i="41"/>
  <c r="E141" i="45"/>
  <c r="F141" i="45" s="1"/>
  <c r="G141" i="45" s="1"/>
  <c r="E144" i="38"/>
  <c r="F144" i="38" s="1"/>
  <c r="D145" i="38" s="1"/>
  <c r="B145" i="38" s="1"/>
  <c r="H140" i="45"/>
  <c r="I140" i="45"/>
  <c r="D148" i="44"/>
  <c r="G147" i="44"/>
  <c r="G143" i="42"/>
  <c r="I143" i="42" s="1"/>
  <c r="J146" i="4"/>
  <c r="J141" i="29"/>
  <c r="J141" i="31"/>
  <c r="E144" i="42"/>
  <c r="F144" i="42" s="1"/>
  <c r="B144" i="42"/>
  <c r="D145" i="41"/>
  <c r="G144" i="41"/>
  <c r="J146" i="5"/>
  <c r="J146" i="3"/>
  <c r="J149" i="10"/>
  <c r="J149" i="7"/>
  <c r="D148" i="3"/>
  <c r="E148" i="3" s="1"/>
  <c r="G147" i="3"/>
  <c r="D150" i="11"/>
  <c r="G149" i="11"/>
  <c r="G141" i="30"/>
  <c r="D142" i="30"/>
  <c r="E142" i="30" s="1"/>
  <c r="G146" i="25"/>
  <c r="D147" i="25"/>
  <c r="E147" i="25" s="1"/>
  <c r="J140" i="30"/>
  <c r="G139" i="37"/>
  <c r="D140" i="37"/>
  <c r="E140" i="37" s="1"/>
  <c r="G147" i="5"/>
  <c r="D148" i="5"/>
  <c r="E148" i="5" s="1"/>
  <c r="G147" i="4"/>
  <c r="D148" i="4"/>
  <c r="E148" i="4" s="1"/>
  <c r="G142" i="29"/>
  <c r="D143" i="29"/>
  <c r="E143" i="29" s="1"/>
  <c r="G142" i="31"/>
  <c r="D143" i="31"/>
  <c r="E143" i="31" s="1"/>
  <c r="G139" i="43"/>
  <c r="D140" i="43"/>
  <c r="E140" i="43" s="1"/>
  <c r="G143" i="27"/>
  <c r="D144" i="27"/>
  <c r="E144" i="27" s="1"/>
  <c r="G142" i="28"/>
  <c r="D143" i="28"/>
  <c r="E143" i="28" s="1"/>
  <c r="G148" i="6"/>
  <c r="D149" i="6"/>
  <c r="E149" i="6" s="1"/>
  <c r="G150" i="10"/>
  <c r="D151" i="10"/>
  <c r="E151" i="10" s="1"/>
  <c r="G139" i="39"/>
  <c r="D140" i="39"/>
  <c r="E140" i="39" s="1"/>
  <c r="G150" i="7"/>
  <c r="D151" i="7"/>
  <c r="G145" i="23"/>
  <c r="D146" i="23"/>
  <c r="E146" i="23" s="1"/>
  <c r="G138" i="40"/>
  <c r="D139" i="40"/>
  <c r="E139" i="40" s="1"/>
  <c r="J141" i="28"/>
  <c r="G149" i="9"/>
  <c r="D150" i="9"/>
  <c r="E150" i="9" s="1"/>
  <c r="J147" i="8"/>
  <c r="G146" i="22"/>
  <c r="D147" i="22"/>
  <c r="E147" i="22" s="1"/>
  <c r="G148" i="8"/>
  <c r="D149" i="8"/>
  <c r="E149" i="8" s="1"/>
  <c r="D145" i="24"/>
  <c r="E145" i="24" s="1"/>
  <c r="G144" i="24"/>
  <c r="J142" i="27"/>
  <c r="J147" i="6"/>
  <c r="I142" i="54" l="1"/>
  <c r="G142" i="57"/>
  <c r="D143" i="57"/>
  <c r="B143" i="57" s="1"/>
  <c r="E149" i="13"/>
  <c r="F149" i="13" s="1"/>
  <c r="H148" i="13"/>
  <c r="I148" i="13"/>
  <c r="E141" i="46"/>
  <c r="F141" i="46" s="1"/>
  <c r="D142" i="46" s="1"/>
  <c r="B142" i="46" s="1"/>
  <c r="D146" i="55"/>
  <c r="B146" i="55" s="1"/>
  <c r="E143" i="54"/>
  <c r="F143" i="54" s="1"/>
  <c r="I140" i="46"/>
  <c r="H140" i="46"/>
  <c r="H145" i="55"/>
  <c r="I145" i="55"/>
  <c r="D141" i="47"/>
  <c r="G140" i="47"/>
  <c r="D142" i="45"/>
  <c r="B142" i="45" s="1"/>
  <c r="G144" i="38"/>
  <c r="H144" i="38" s="1"/>
  <c r="E145" i="38"/>
  <c r="F145" i="38" s="1"/>
  <c r="D146" i="38" s="1"/>
  <c r="B146" i="38" s="1"/>
  <c r="H141" i="45"/>
  <c r="I141" i="45"/>
  <c r="H143" i="42"/>
  <c r="H147" i="44"/>
  <c r="I147" i="44"/>
  <c r="E148" i="44"/>
  <c r="F148" i="44" s="1"/>
  <c r="B148" i="44"/>
  <c r="G144" i="42"/>
  <c r="D145" i="42"/>
  <c r="B145" i="42" s="1"/>
  <c r="H144" i="41"/>
  <c r="I144" i="41"/>
  <c r="E145" i="41"/>
  <c r="F145" i="41" s="1"/>
  <c r="B145" i="41"/>
  <c r="H144" i="24"/>
  <c r="I144" i="24"/>
  <c r="H148" i="8"/>
  <c r="I148" i="8"/>
  <c r="B151" i="7"/>
  <c r="H139" i="39"/>
  <c r="I139" i="39"/>
  <c r="B143" i="28"/>
  <c r="F143" i="28"/>
  <c r="H143" i="27"/>
  <c r="I143" i="27"/>
  <c r="B143" i="29"/>
  <c r="F143" i="29"/>
  <c r="H147" i="4"/>
  <c r="I147" i="4"/>
  <c r="B142" i="30"/>
  <c r="F142" i="30"/>
  <c r="B150" i="11"/>
  <c r="B145" i="24"/>
  <c r="F145" i="24"/>
  <c r="B146" i="23"/>
  <c r="F146" i="23"/>
  <c r="H150" i="7"/>
  <c r="I150" i="7"/>
  <c r="B149" i="6"/>
  <c r="F149" i="6"/>
  <c r="H142" i="28"/>
  <c r="I142" i="28"/>
  <c r="B143" i="31"/>
  <c r="F143" i="31"/>
  <c r="H142" i="29"/>
  <c r="I142" i="29"/>
  <c r="B140" i="37"/>
  <c r="F140" i="37"/>
  <c r="B147" i="25"/>
  <c r="F147" i="25"/>
  <c r="H141" i="30"/>
  <c r="I141" i="30"/>
  <c r="B147" i="22"/>
  <c r="F147" i="22"/>
  <c r="B150" i="9"/>
  <c r="F150" i="9"/>
  <c r="B139" i="40"/>
  <c r="F139" i="40"/>
  <c r="I145" i="23"/>
  <c r="H145" i="23"/>
  <c r="B151" i="10"/>
  <c r="F151" i="10"/>
  <c r="H148" i="6"/>
  <c r="I148" i="6"/>
  <c r="B140" i="43"/>
  <c r="F140" i="43"/>
  <c r="H142" i="31"/>
  <c r="I142" i="31"/>
  <c r="B148" i="5"/>
  <c r="F148" i="5"/>
  <c r="H139" i="37"/>
  <c r="I139" i="37"/>
  <c r="I146" i="25"/>
  <c r="H146" i="25"/>
  <c r="E150" i="11"/>
  <c r="F150" i="11" s="1"/>
  <c r="H147" i="3"/>
  <c r="I147" i="3"/>
  <c r="B149" i="8"/>
  <c r="F149" i="8"/>
  <c r="H146" i="22"/>
  <c r="I146" i="22"/>
  <c r="H149" i="9"/>
  <c r="I149" i="9"/>
  <c r="I138" i="40"/>
  <c r="H138" i="40"/>
  <c r="E151" i="7"/>
  <c r="F151" i="7" s="1"/>
  <c r="B140" i="39"/>
  <c r="F140" i="39"/>
  <c r="H150" i="10"/>
  <c r="I150" i="10"/>
  <c r="B144" i="27"/>
  <c r="F144" i="27"/>
  <c r="I139" i="43"/>
  <c r="H139" i="43"/>
  <c r="B148" i="4"/>
  <c r="F148" i="4"/>
  <c r="H147" i="5"/>
  <c r="I147" i="5"/>
  <c r="I149" i="11"/>
  <c r="H149" i="11"/>
  <c r="B148" i="3"/>
  <c r="F148" i="3"/>
  <c r="E143" i="57" l="1"/>
  <c r="F143" i="57" s="1"/>
  <c r="G141" i="46"/>
  <c r="I142" i="57"/>
  <c r="H142" i="57"/>
  <c r="G149" i="13"/>
  <c r="D150" i="13"/>
  <c r="B150" i="13" s="1"/>
  <c r="E146" i="55"/>
  <c r="F146" i="55" s="1"/>
  <c r="D147" i="55" s="1"/>
  <c r="B147" i="55" s="1"/>
  <c r="E142" i="46"/>
  <c r="F142" i="46" s="1"/>
  <c r="G142" i="46" s="1"/>
  <c r="G143" i="54"/>
  <c r="D144" i="54"/>
  <c r="H141" i="46"/>
  <c r="I141" i="46"/>
  <c r="I140" i="47"/>
  <c r="H140" i="47"/>
  <c r="E141" i="47"/>
  <c r="F141" i="47" s="1"/>
  <c r="B141" i="47"/>
  <c r="I144" i="38"/>
  <c r="E142" i="45"/>
  <c r="F142" i="45" s="1"/>
  <c r="G142" i="45" s="1"/>
  <c r="G145" i="38"/>
  <c r="H145" i="38" s="1"/>
  <c r="E146" i="38"/>
  <c r="F146" i="38" s="1"/>
  <c r="D147" i="38" s="1"/>
  <c r="B147" i="38" s="1"/>
  <c r="D149" i="44"/>
  <c r="G148" i="44"/>
  <c r="E145" i="42"/>
  <c r="F145" i="42" s="1"/>
  <c r="G145" i="42" s="1"/>
  <c r="J147" i="3"/>
  <c r="G145" i="41"/>
  <c r="D146" i="41"/>
  <c r="H144" i="42"/>
  <c r="I144" i="42"/>
  <c r="J147" i="4"/>
  <c r="J143" i="27"/>
  <c r="J148" i="8"/>
  <c r="J142" i="31"/>
  <c r="J148" i="6"/>
  <c r="J141" i="30"/>
  <c r="G151" i="7"/>
  <c r="D152" i="7"/>
  <c r="E152" i="7" s="1"/>
  <c r="D151" i="11"/>
  <c r="E151" i="11" s="1"/>
  <c r="G150" i="11"/>
  <c r="G148" i="4"/>
  <c r="D149" i="4"/>
  <c r="G144" i="27"/>
  <c r="D145" i="27"/>
  <c r="E145" i="27" s="1"/>
  <c r="G140" i="39"/>
  <c r="D141" i="39"/>
  <c r="E141" i="39" s="1"/>
  <c r="G150" i="9"/>
  <c r="D151" i="9"/>
  <c r="E151" i="9" s="1"/>
  <c r="G140" i="37"/>
  <c r="D141" i="37"/>
  <c r="E141" i="37" s="1"/>
  <c r="G143" i="31"/>
  <c r="D144" i="31"/>
  <c r="E144" i="31" s="1"/>
  <c r="G149" i="6"/>
  <c r="D150" i="6"/>
  <c r="E150" i="6" s="1"/>
  <c r="G146" i="23"/>
  <c r="D147" i="23"/>
  <c r="E147" i="23" s="1"/>
  <c r="G149" i="8"/>
  <c r="D150" i="8"/>
  <c r="G148" i="3"/>
  <c r="D149" i="3"/>
  <c r="E149" i="3" s="1"/>
  <c r="J147" i="5"/>
  <c r="J150" i="10"/>
  <c r="G148" i="5"/>
  <c r="D149" i="5"/>
  <c r="G140" i="43"/>
  <c r="D141" i="43"/>
  <c r="E141" i="43" s="1"/>
  <c r="G151" i="10"/>
  <c r="D152" i="10"/>
  <c r="E152" i="10" s="1"/>
  <c r="G139" i="40"/>
  <c r="D140" i="40"/>
  <c r="E140" i="40" s="1"/>
  <c r="G147" i="22"/>
  <c r="D148" i="22"/>
  <c r="G147" i="25"/>
  <c r="D148" i="25"/>
  <c r="E148" i="25" s="1"/>
  <c r="J142" i="29"/>
  <c r="J142" i="28"/>
  <c r="J150" i="7"/>
  <c r="G145" i="24"/>
  <c r="D146" i="24"/>
  <c r="E146" i="24" s="1"/>
  <c r="G142" i="30"/>
  <c r="D143" i="30"/>
  <c r="E143" i="30" s="1"/>
  <c r="G143" i="29"/>
  <c r="D144" i="29"/>
  <c r="E144" i="29" s="1"/>
  <c r="D144" i="28"/>
  <c r="E144" i="28" s="1"/>
  <c r="G143" i="28"/>
  <c r="G146" i="55" l="1"/>
  <c r="H146" i="55" s="1"/>
  <c r="D143" i="46"/>
  <c r="B143" i="46" s="1"/>
  <c r="G143" i="57"/>
  <c r="E144" i="57"/>
  <c r="F144" i="57" s="1"/>
  <c r="D144" i="57"/>
  <c r="B144" i="57" s="1"/>
  <c r="E150" i="13"/>
  <c r="F150" i="13" s="1"/>
  <c r="E147" i="55"/>
  <c r="F147" i="55" s="1"/>
  <c r="D148" i="55" s="1"/>
  <c r="B148" i="55" s="1"/>
  <c r="H149" i="13"/>
  <c r="I149" i="13"/>
  <c r="E143" i="46"/>
  <c r="F143" i="46" s="1"/>
  <c r="D144" i="46" s="1"/>
  <c r="B144" i="46" s="1"/>
  <c r="I146" i="55"/>
  <c r="G143" i="46"/>
  <c r="H143" i="46" s="1"/>
  <c r="I142" i="46"/>
  <c r="H142" i="46"/>
  <c r="B144" i="54"/>
  <c r="E144" i="54"/>
  <c r="F144" i="54" s="1"/>
  <c r="I143" i="54"/>
  <c r="H143" i="54"/>
  <c r="D142" i="47"/>
  <c r="G141" i="47"/>
  <c r="I143" i="46"/>
  <c r="I145" i="38"/>
  <c r="D143" i="45"/>
  <c r="B143" i="45" s="1"/>
  <c r="G146" i="38"/>
  <c r="H146" i="38" s="1"/>
  <c r="E147" i="38"/>
  <c r="F147" i="38" s="1"/>
  <c r="D148" i="38" s="1"/>
  <c r="H142" i="45"/>
  <c r="I142" i="45"/>
  <c r="I148" i="44"/>
  <c r="H148" i="44"/>
  <c r="D146" i="42"/>
  <c r="E146" i="42" s="1"/>
  <c r="F146" i="42" s="1"/>
  <c r="E149" i="44"/>
  <c r="F149" i="44" s="1"/>
  <c r="B149" i="44"/>
  <c r="E146" i="41"/>
  <c r="F146" i="41" s="1"/>
  <c r="B146" i="41"/>
  <c r="H145" i="41"/>
  <c r="I145" i="41"/>
  <c r="I145" i="42"/>
  <c r="H145" i="42"/>
  <c r="B143" i="30"/>
  <c r="F143" i="30"/>
  <c r="I145" i="24"/>
  <c r="H145" i="24"/>
  <c r="B148" i="22"/>
  <c r="I139" i="40"/>
  <c r="H139" i="40"/>
  <c r="B149" i="5"/>
  <c r="B150" i="8"/>
  <c r="I146" i="23"/>
  <c r="H146" i="23"/>
  <c r="B141" i="37"/>
  <c r="F141" i="37"/>
  <c r="I150" i="9"/>
  <c r="H150" i="9"/>
  <c r="B149" i="4"/>
  <c r="B151" i="11"/>
  <c r="F151" i="11"/>
  <c r="B149" i="3"/>
  <c r="F149" i="3"/>
  <c r="H149" i="8"/>
  <c r="I149" i="8"/>
  <c r="F144" i="31"/>
  <c r="B144" i="31"/>
  <c r="H140" i="37"/>
  <c r="I140" i="37"/>
  <c r="B145" i="27"/>
  <c r="F145" i="27"/>
  <c r="H148" i="4"/>
  <c r="I148" i="4"/>
  <c r="B144" i="29"/>
  <c r="F144" i="29"/>
  <c r="I142" i="30"/>
  <c r="H142" i="30"/>
  <c r="I147" i="22"/>
  <c r="H147" i="22"/>
  <c r="B141" i="43"/>
  <c r="F141" i="43"/>
  <c r="H148" i="5"/>
  <c r="I148" i="5"/>
  <c r="H143" i="28"/>
  <c r="I143" i="28"/>
  <c r="H143" i="29"/>
  <c r="I143" i="29"/>
  <c r="I147" i="25"/>
  <c r="H147" i="25"/>
  <c r="B152" i="10"/>
  <c r="F152" i="10"/>
  <c r="H140" i="43"/>
  <c r="I140" i="43"/>
  <c r="I148" i="3"/>
  <c r="H148" i="3"/>
  <c r="B150" i="6"/>
  <c r="F150" i="6"/>
  <c r="I143" i="31"/>
  <c r="H143" i="31"/>
  <c r="B141" i="39"/>
  <c r="F141" i="39"/>
  <c r="I144" i="27"/>
  <c r="H144" i="27"/>
  <c r="B152" i="7"/>
  <c r="F152" i="7"/>
  <c r="B148" i="25"/>
  <c r="F148" i="25"/>
  <c r="B144" i="28"/>
  <c r="F144" i="28"/>
  <c r="B146" i="24"/>
  <c r="F146" i="24"/>
  <c r="E148" i="22"/>
  <c r="F148" i="22" s="1"/>
  <c r="B140" i="40"/>
  <c r="F140" i="40"/>
  <c r="I151" i="10"/>
  <c r="H151" i="10"/>
  <c r="E149" i="5"/>
  <c r="F149" i="5" s="1"/>
  <c r="E150" i="8"/>
  <c r="F150" i="8" s="1"/>
  <c r="B147" i="23"/>
  <c r="F147" i="23"/>
  <c r="I149" i="6"/>
  <c r="H149" i="6"/>
  <c r="B151" i="9"/>
  <c r="F151" i="9"/>
  <c r="I140" i="39"/>
  <c r="H140" i="39"/>
  <c r="E149" i="4"/>
  <c r="F149" i="4" s="1"/>
  <c r="H150" i="11"/>
  <c r="I150" i="11"/>
  <c r="I151" i="7"/>
  <c r="H151" i="7"/>
  <c r="E148" i="55" l="1"/>
  <c r="F148" i="55" s="1"/>
  <c r="G144" i="57"/>
  <c r="D145" i="57"/>
  <c r="B145" i="57" s="1"/>
  <c r="E145" i="57"/>
  <c r="F145" i="57" s="1"/>
  <c r="H143" i="57"/>
  <c r="I143" i="57"/>
  <c r="E144" i="46"/>
  <c r="F144" i="46" s="1"/>
  <c r="D145" i="46" s="1"/>
  <c r="B145" i="46" s="1"/>
  <c r="G147" i="55"/>
  <c r="I147" i="55" s="1"/>
  <c r="D151" i="13"/>
  <c r="B151" i="13" s="1"/>
  <c r="G150" i="13"/>
  <c r="G144" i="54"/>
  <c r="D145" i="54"/>
  <c r="B145" i="54" s="1"/>
  <c r="D149" i="55"/>
  <c r="B149" i="55" s="1"/>
  <c r="G148" i="55"/>
  <c r="E142" i="47"/>
  <c r="F142" i="47" s="1"/>
  <c r="B142" i="47"/>
  <c r="E145" i="46"/>
  <c r="F145" i="46" s="1"/>
  <c r="H141" i="47"/>
  <c r="I141" i="47"/>
  <c r="E143" i="45"/>
  <c r="F143" i="45" s="1"/>
  <c r="G147" i="38"/>
  <c r="I147" i="38" s="1"/>
  <c r="I146" i="38"/>
  <c r="D150" i="44"/>
  <c r="B150" i="44" s="1"/>
  <c r="G149" i="44"/>
  <c r="B146" i="42"/>
  <c r="D147" i="42"/>
  <c r="G146" i="42"/>
  <c r="D147" i="41"/>
  <c r="G146" i="41"/>
  <c r="E148" i="38"/>
  <c r="F148" i="38" s="1"/>
  <c r="B148" i="38"/>
  <c r="J142" i="30"/>
  <c r="J151" i="7"/>
  <c r="J144" i="27"/>
  <c r="J143" i="31"/>
  <c r="J148" i="3"/>
  <c r="G148" i="22"/>
  <c r="D149" i="22"/>
  <c r="E149" i="22" s="1"/>
  <c r="G149" i="4"/>
  <c r="D150" i="4"/>
  <c r="E150" i="4" s="1"/>
  <c r="G150" i="8"/>
  <c r="D151" i="8"/>
  <c r="G149" i="5"/>
  <c r="D150" i="5"/>
  <c r="E150" i="5" s="1"/>
  <c r="J151" i="10"/>
  <c r="G146" i="24"/>
  <c r="D147" i="24"/>
  <c r="E147" i="24" s="1"/>
  <c r="G148" i="25"/>
  <c r="D149" i="25"/>
  <c r="E149" i="25" s="1"/>
  <c r="G152" i="10"/>
  <c r="D153" i="10"/>
  <c r="E153" i="10" s="1"/>
  <c r="J143" i="29"/>
  <c r="J148" i="5"/>
  <c r="G144" i="29"/>
  <c r="D145" i="29"/>
  <c r="E145" i="29" s="1"/>
  <c r="G145" i="27"/>
  <c r="D146" i="27"/>
  <c r="E146" i="27" s="1"/>
  <c r="G149" i="3"/>
  <c r="D150" i="3"/>
  <c r="G141" i="37"/>
  <c r="D142" i="37"/>
  <c r="E142" i="37" s="1"/>
  <c r="G144" i="31"/>
  <c r="D145" i="31"/>
  <c r="E145" i="31" s="1"/>
  <c r="G140" i="40"/>
  <c r="D141" i="40"/>
  <c r="E141" i="40" s="1"/>
  <c r="J149" i="6"/>
  <c r="G144" i="28"/>
  <c r="D145" i="28"/>
  <c r="E145" i="28" s="1"/>
  <c r="D153" i="7"/>
  <c r="G152" i="7"/>
  <c r="G141" i="39"/>
  <c r="D142" i="39"/>
  <c r="E142" i="39" s="1"/>
  <c r="G150" i="6"/>
  <c r="D151" i="6"/>
  <c r="E151" i="6" s="1"/>
  <c r="J143" i="28"/>
  <c r="G141" i="43"/>
  <c r="D142" i="43"/>
  <c r="E142" i="43" s="1"/>
  <c r="J148" i="4"/>
  <c r="J149" i="8"/>
  <c r="G151" i="11"/>
  <c r="D152" i="11"/>
  <c r="E152" i="11" s="1"/>
  <c r="G143" i="30"/>
  <c r="D144" i="30"/>
  <c r="E144" i="30" s="1"/>
  <c r="D152" i="9"/>
  <c r="E152" i="9" s="1"/>
  <c r="G151" i="9"/>
  <c r="G147" i="23"/>
  <c r="D148" i="23"/>
  <c r="G144" i="46" l="1"/>
  <c r="G145" i="57"/>
  <c r="D146" i="57"/>
  <c r="B146" i="57" s="1"/>
  <c r="E146" i="57"/>
  <c r="F146" i="57" s="1"/>
  <c r="H147" i="55"/>
  <c r="H144" i="57"/>
  <c r="I144" i="57"/>
  <c r="E151" i="13"/>
  <c r="F151" i="13" s="1"/>
  <c r="H150" i="13"/>
  <c r="I150" i="13"/>
  <c r="E145" i="54"/>
  <c r="F145" i="54" s="1"/>
  <c r="G145" i="54" s="1"/>
  <c r="I144" i="54"/>
  <c r="H144" i="54"/>
  <c r="E149" i="55"/>
  <c r="F149" i="55" s="1"/>
  <c r="G149" i="55" s="1"/>
  <c r="H148" i="55"/>
  <c r="I148" i="55"/>
  <c r="H147" i="38"/>
  <c r="D143" i="47"/>
  <c r="G142" i="47"/>
  <c r="D146" i="46"/>
  <c r="B146" i="46" s="1"/>
  <c r="G145" i="46"/>
  <c r="G143" i="45"/>
  <c r="D144" i="45"/>
  <c r="B144" i="45" s="1"/>
  <c r="E150" i="44"/>
  <c r="F150" i="44" s="1"/>
  <c r="G150" i="44" s="1"/>
  <c r="I149" i="44"/>
  <c r="H149" i="44"/>
  <c r="E147" i="41"/>
  <c r="F147" i="41" s="1"/>
  <c r="B147" i="41"/>
  <c r="D149" i="38"/>
  <c r="G148" i="38"/>
  <c r="I146" i="42"/>
  <c r="H146" i="42"/>
  <c r="H146" i="41"/>
  <c r="I146" i="41"/>
  <c r="E147" i="42"/>
  <c r="F147" i="42" s="1"/>
  <c r="B147" i="42"/>
  <c r="H147" i="23"/>
  <c r="I147" i="23"/>
  <c r="B148" i="23"/>
  <c r="B152" i="9"/>
  <c r="F152" i="9"/>
  <c r="H152" i="7"/>
  <c r="I152" i="7"/>
  <c r="H144" i="28"/>
  <c r="I144" i="28"/>
  <c r="H140" i="40"/>
  <c r="I140" i="40"/>
  <c r="B150" i="3"/>
  <c r="H145" i="27"/>
  <c r="I145" i="27"/>
  <c r="I152" i="10"/>
  <c r="H152" i="10"/>
  <c r="B151" i="8"/>
  <c r="H149" i="4"/>
  <c r="I149" i="4"/>
  <c r="B152" i="11"/>
  <c r="F152" i="11"/>
  <c r="B142" i="39"/>
  <c r="F142" i="39"/>
  <c r="B153" i="7"/>
  <c r="B142" i="37"/>
  <c r="F142" i="37"/>
  <c r="H149" i="3"/>
  <c r="I149" i="3"/>
  <c r="B147" i="24"/>
  <c r="F147" i="24"/>
  <c r="B150" i="5"/>
  <c r="F150" i="5"/>
  <c r="I150" i="8"/>
  <c r="H150" i="8"/>
  <c r="B142" i="43"/>
  <c r="F142" i="43"/>
  <c r="B151" i="6"/>
  <c r="F151" i="6"/>
  <c r="H141" i="39"/>
  <c r="I141" i="39"/>
  <c r="B145" i="31"/>
  <c r="F145" i="31"/>
  <c r="I141" i="37"/>
  <c r="H141" i="37"/>
  <c r="B145" i="29"/>
  <c r="F145" i="29"/>
  <c r="B149" i="25"/>
  <c r="F149" i="25"/>
  <c r="H146" i="24"/>
  <c r="I146" i="24"/>
  <c r="H149" i="5"/>
  <c r="I149" i="5"/>
  <c r="B149" i="22"/>
  <c r="F149" i="22"/>
  <c r="B144" i="30"/>
  <c r="F144" i="30"/>
  <c r="I151" i="11"/>
  <c r="H151" i="11"/>
  <c r="E148" i="23"/>
  <c r="F148" i="23" s="1"/>
  <c r="I151" i="9"/>
  <c r="H151" i="9"/>
  <c r="H143" i="30"/>
  <c r="I143" i="30"/>
  <c r="I141" i="43"/>
  <c r="H141" i="43"/>
  <c r="H150" i="6"/>
  <c r="I150" i="6"/>
  <c r="E153" i="7"/>
  <c r="F153" i="7" s="1"/>
  <c r="B145" i="28"/>
  <c r="F145" i="28"/>
  <c r="B141" i="40"/>
  <c r="F141" i="40"/>
  <c r="I144" i="31"/>
  <c r="H144" i="31"/>
  <c r="E150" i="3"/>
  <c r="F150" i="3" s="1"/>
  <c r="B146" i="27"/>
  <c r="F146" i="27"/>
  <c r="H144" i="29"/>
  <c r="I144" i="29"/>
  <c r="B153" i="10"/>
  <c r="F153" i="10"/>
  <c r="I148" i="25"/>
  <c r="H148" i="25"/>
  <c r="E151" i="8"/>
  <c r="F151" i="8" s="1"/>
  <c r="B150" i="4"/>
  <c r="F150" i="4"/>
  <c r="I148" i="22"/>
  <c r="H148" i="22"/>
  <c r="G146" i="57" l="1"/>
  <c r="D147" i="57"/>
  <c r="B147" i="57" s="1"/>
  <c r="E147" i="57"/>
  <c r="F147" i="57" s="1"/>
  <c r="I145" i="57"/>
  <c r="H145" i="57"/>
  <c r="I144" i="46"/>
  <c r="H144" i="46"/>
  <c r="D152" i="13"/>
  <c r="B152" i="13" s="1"/>
  <c r="G151" i="13"/>
  <c r="D146" i="54"/>
  <c r="B146" i="54" s="1"/>
  <c r="D150" i="55"/>
  <c r="B150" i="55" s="1"/>
  <c r="H145" i="54"/>
  <c r="I145" i="54"/>
  <c r="H149" i="55"/>
  <c r="I149" i="55"/>
  <c r="I145" i="46"/>
  <c r="H145" i="46"/>
  <c r="H142" i="47"/>
  <c r="I142" i="47"/>
  <c r="E146" i="46"/>
  <c r="F146" i="46" s="1"/>
  <c r="E143" i="47"/>
  <c r="F143" i="47" s="1"/>
  <c r="B143" i="47"/>
  <c r="H143" i="45"/>
  <c r="I143" i="45"/>
  <c r="E144" i="45"/>
  <c r="F144" i="45" s="1"/>
  <c r="D151" i="44"/>
  <c r="E151" i="44" s="1"/>
  <c r="F151" i="44" s="1"/>
  <c r="H150" i="44"/>
  <c r="I150" i="44"/>
  <c r="J144" i="29"/>
  <c r="E149" i="38"/>
  <c r="F149" i="38" s="1"/>
  <c r="B149" i="38"/>
  <c r="G147" i="42"/>
  <c r="D148" i="42"/>
  <c r="G147" i="41"/>
  <c r="D148" i="41"/>
  <c r="B148" i="41" s="1"/>
  <c r="I148" i="38"/>
  <c r="H148" i="38"/>
  <c r="J150" i="6"/>
  <c r="J143" i="30"/>
  <c r="J145" i="27"/>
  <c r="J144" i="31"/>
  <c r="J152" i="10"/>
  <c r="J150" i="8"/>
  <c r="G151" i="8"/>
  <c r="D152" i="8"/>
  <c r="E152" i="8" s="1"/>
  <c r="G153" i="7"/>
  <c r="D154" i="7"/>
  <c r="E154" i="7" s="1"/>
  <c r="E155" i="7" s="1"/>
  <c r="G148" i="23"/>
  <c r="D149" i="23"/>
  <c r="D151" i="3"/>
  <c r="E151" i="3" s="1"/>
  <c r="G150" i="3"/>
  <c r="G153" i="10"/>
  <c r="D154" i="10"/>
  <c r="E154" i="10" s="1"/>
  <c r="E155" i="10" s="1"/>
  <c r="G141" i="40"/>
  <c r="D142" i="40"/>
  <c r="E142" i="40" s="1"/>
  <c r="G144" i="30"/>
  <c r="D145" i="30"/>
  <c r="E145" i="30" s="1"/>
  <c r="J149" i="5"/>
  <c r="G149" i="25"/>
  <c r="D150" i="25"/>
  <c r="G142" i="43"/>
  <c r="D143" i="43"/>
  <c r="E143" i="43" s="1"/>
  <c r="G150" i="5"/>
  <c r="D151" i="5"/>
  <c r="E151" i="5" s="1"/>
  <c r="J149" i="3"/>
  <c r="G152" i="11"/>
  <c r="D153" i="11"/>
  <c r="E153" i="11" s="1"/>
  <c r="J152" i="7"/>
  <c r="G150" i="4"/>
  <c r="D151" i="4"/>
  <c r="E151" i="4" s="1"/>
  <c r="G145" i="28"/>
  <c r="D146" i="28"/>
  <c r="E146" i="28" s="1"/>
  <c r="G149" i="22"/>
  <c r="D150" i="22"/>
  <c r="G145" i="29"/>
  <c r="D146" i="29"/>
  <c r="E146" i="29" s="1"/>
  <c r="G145" i="31"/>
  <c r="D146" i="31"/>
  <c r="E146" i="31" s="1"/>
  <c r="D152" i="6"/>
  <c r="E152" i="6" s="1"/>
  <c r="G151" i="6"/>
  <c r="G147" i="24"/>
  <c r="D148" i="24"/>
  <c r="G142" i="37"/>
  <c r="D143" i="37"/>
  <c r="E143" i="37" s="1"/>
  <c r="G142" i="39"/>
  <c r="D143" i="39"/>
  <c r="E143" i="39" s="1"/>
  <c r="J149" i="4"/>
  <c r="J144" i="28"/>
  <c r="D153" i="9"/>
  <c r="E153" i="9" s="1"/>
  <c r="G152" i="9"/>
  <c r="G146" i="27"/>
  <c r="D147" i="27"/>
  <c r="E147" i="27" s="1"/>
  <c r="E146" i="54" l="1"/>
  <c r="F146" i="54" s="1"/>
  <c r="D148" i="57"/>
  <c r="B148" i="57" s="1"/>
  <c r="G147" i="57"/>
  <c r="E148" i="57"/>
  <c r="F148" i="57" s="1"/>
  <c r="I146" i="57"/>
  <c r="H146" i="57"/>
  <c r="E150" i="55"/>
  <c r="F150" i="55" s="1"/>
  <c r="G150" i="55" s="1"/>
  <c r="I150" i="55" s="1"/>
  <c r="E152" i="13"/>
  <c r="F152" i="13" s="1"/>
  <c r="H151" i="13"/>
  <c r="I151" i="13"/>
  <c r="G146" i="54"/>
  <c r="D147" i="54"/>
  <c r="G143" i="47"/>
  <c r="D144" i="47"/>
  <c r="B144" i="47" s="1"/>
  <c r="G146" i="46"/>
  <c r="D147" i="46"/>
  <c r="B147" i="46" s="1"/>
  <c r="G144" i="45"/>
  <c r="D145" i="45"/>
  <c r="B145" i="45" s="1"/>
  <c r="B151" i="44"/>
  <c r="G151" i="44"/>
  <c r="D152" i="44"/>
  <c r="E148" i="41"/>
  <c r="F148" i="41" s="1"/>
  <c r="G148" i="41" s="1"/>
  <c r="H147" i="41"/>
  <c r="I147" i="41"/>
  <c r="D150" i="38"/>
  <c r="G149" i="38"/>
  <c r="I147" i="42"/>
  <c r="H147" i="42"/>
  <c r="E148" i="42"/>
  <c r="F148" i="42" s="1"/>
  <c r="B148" i="42"/>
  <c r="B148" i="24"/>
  <c r="F152" i="6"/>
  <c r="B152" i="6"/>
  <c r="B150" i="22"/>
  <c r="H145" i="28"/>
  <c r="I145" i="28"/>
  <c r="B150" i="25"/>
  <c r="B145" i="30"/>
  <c r="F145" i="30"/>
  <c r="I141" i="40"/>
  <c r="H141" i="40"/>
  <c r="B149" i="23"/>
  <c r="I153" i="7"/>
  <c r="H153" i="7"/>
  <c r="B153" i="9"/>
  <c r="F153" i="9"/>
  <c r="H152" i="9"/>
  <c r="I152" i="9"/>
  <c r="B143" i="37"/>
  <c r="F143" i="37"/>
  <c r="H147" i="24"/>
  <c r="I147" i="24"/>
  <c r="B146" i="29"/>
  <c r="F146" i="29"/>
  <c r="H149" i="22"/>
  <c r="I149" i="22"/>
  <c r="B143" i="43"/>
  <c r="F143" i="43"/>
  <c r="H149" i="25"/>
  <c r="I149" i="25"/>
  <c r="H144" i="30"/>
  <c r="I144" i="30"/>
  <c r="H150" i="3"/>
  <c r="I150" i="3"/>
  <c r="H148" i="23"/>
  <c r="I148" i="23"/>
  <c r="B143" i="39"/>
  <c r="F143" i="39"/>
  <c r="I142" i="37"/>
  <c r="H142" i="37"/>
  <c r="B146" i="31"/>
  <c r="F146" i="31"/>
  <c r="H145" i="29"/>
  <c r="I145" i="29"/>
  <c r="B153" i="11"/>
  <c r="F153" i="11"/>
  <c r="B151" i="5"/>
  <c r="F151" i="5"/>
  <c r="I142" i="43"/>
  <c r="H142" i="43"/>
  <c r="B154" i="10"/>
  <c r="F154" i="10"/>
  <c r="G154" i="10" s="1"/>
  <c r="B151" i="3"/>
  <c r="F151" i="3"/>
  <c r="B152" i="8"/>
  <c r="F152" i="8"/>
  <c r="B147" i="27"/>
  <c r="F147" i="27"/>
  <c r="B151" i="4"/>
  <c r="F151" i="4"/>
  <c r="H146" i="27"/>
  <c r="I146" i="27"/>
  <c r="I142" i="39"/>
  <c r="H142" i="39"/>
  <c r="E148" i="24"/>
  <c r="F148" i="24" s="1"/>
  <c r="H151" i="6"/>
  <c r="I151" i="6"/>
  <c r="H145" i="31"/>
  <c r="I145" i="31"/>
  <c r="E150" i="22"/>
  <c r="F150" i="22" s="1"/>
  <c r="B146" i="28"/>
  <c r="F146" i="28"/>
  <c r="H150" i="4"/>
  <c r="I150" i="4"/>
  <c r="I152" i="11"/>
  <c r="H152" i="11"/>
  <c r="H150" i="5"/>
  <c r="I150" i="5"/>
  <c r="E150" i="25"/>
  <c r="F150" i="25" s="1"/>
  <c r="B142" i="40"/>
  <c r="F142" i="40"/>
  <c r="H153" i="10"/>
  <c r="I153" i="10"/>
  <c r="E149" i="23"/>
  <c r="F149" i="23" s="1"/>
  <c r="B154" i="7"/>
  <c r="F154" i="7"/>
  <c r="G154" i="7" s="1"/>
  <c r="H151" i="8"/>
  <c r="I151" i="8"/>
  <c r="H150" i="55" l="1"/>
  <c r="D149" i="57"/>
  <c r="B149" i="57" s="1"/>
  <c r="G148" i="57"/>
  <c r="E149" i="57"/>
  <c r="F149" i="57" s="1"/>
  <c r="H147" i="57"/>
  <c r="I147" i="57"/>
  <c r="D151" i="55"/>
  <c r="B151" i="55" s="1"/>
  <c r="G152" i="13"/>
  <c r="D153" i="13"/>
  <c r="E153" i="13"/>
  <c r="B147" i="54"/>
  <c r="E147" i="54"/>
  <c r="F147" i="54" s="1"/>
  <c r="H146" i="54"/>
  <c r="I146" i="54"/>
  <c r="E147" i="46"/>
  <c r="F147" i="46" s="1"/>
  <c r="D148" i="46" s="1"/>
  <c r="B148" i="46" s="1"/>
  <c r="H146" i="46"/>
  <c r="I146" i="46"/>
  <c r="E144" i="47"/>
  <c r="F144" i="47" s="1"/>
  <c r="E145" i="45"/>
  <c r="F145" i="45" s="1"/>
  <c r="G145" i="45" s="1"/>
  <c r="H145" i="45" s="1"/>
  <c r="H143" i="47"/>
  <c r="I143" i="47"/>
  <c r="I144" i="45"/>
  <c r="H144" i="45"/>
  <c r="E152" i="44"/>
  <c r="F152" i="44" s="1"/>
  <c r="B152" i="44"/>
  <c r="H151" i="44"/>
  <c r="I151" i="44"/>
  <c r="D149" i="41"/>
  <c r="B149" i="41" s="1"/>
  <c r="H149" i="38"/>
  <c r="I149" i="38"/>
  <c r="G148" i="42"/>
  <c r="D149" i="42"/>
  <c r="E150" i="38"/>
  <c r="F150" i="38" s="1"/>
  <c r="B150" i="38"/>
  <c r="H148" i="41"/>
  <c r="I148" i="41"/>
  <c r="J151" i="6"/>
  <c r="J145" i="28"/>
  <c r="J153" i="10"/>
  <c r="J145" i="31"/>
  <c r="J153" i="7"/>
  <c r="G150" i="25"/>
  <c r="D151" i="25"/>
  <c r="E151" i="25" s="1"/>
  <c r="G149" i="23"/>
  <c r="D150" i="23"/>
  <c r="E150" i="23" s="1"/>
  <c r="G150" i="22"/>
  <c r="D151" i="22"/>
  <c r="E151" i="22" s="1"/>
  <c r="G148" i="24"/>
  <c r="D149" i="24"/>
  <c r="E149" i="24" s="1"/>
  <c r="J151" i="8"/>
  <c r="G146" i="28"/>
  <c r="D147" i="28"/>
  <c r="E147" i="28" s="1"/>
  <c r="G151" i="4"/>
  <c r="D152" i="4"/>
  <c r="E152" i="4" s="1"/>
  <c r="G152" i="8"/>
  <c r="D153" i="8"/>
  <c r="E153" i="8" s="1"/>
  <c r="H154" i="10"/>
  <c r="H155" i="10" s="1"/>
  <c r="I154" i="10"/>
  <c r="G151" i="5"/>
  <c r="D152" i="5"/>
  <c r="E152" i="5" s="1"/>
  <c r="J145" i="29"/>
  <c r="J144" i="30"/>
  <c r="G143" i="43"/>
  <c r="D144" i="43"/>
  <c r="E144" i="43" s="1"/>
  <c r="G146" i="29"/>
  <c r="D147" i="29"/>
  <c r="E147" i="29" s="1"/>
  <c r="G143" i="37"/>
  <c r="D144" i="37"/>
  <c r="E144" i="37" s="1"/>
  <c r="D154" i="9"/>
  <c r="G153" i="9"/>
  <c r="G145" i="30"/>
  <c r="D146" i="30"/>
  <c r="E146" i="30" s="1"/>
  <c r="D153" i="6"/>
  <c r="E153" i="6" s="1"/>
  <c r="G152" i="6"/>
  <c r="I154" i="7"/>
  <c r="H154" i="7"/>
  <c r="H155" i="7" s="1"/>
  <c r="J150" i="5"/>
  <c r="J150" i="4"/>
  <c r="J146" i="27"/>
  <c r="G147" i="27"/>
  <c r="D148" i="27"/>
  <c r="E148" i="27" s="1"/>
  <c r="G151" i="3"/>
  <c r="D152" i="3"/>
  <c r="E152" i="3" s="1"/>
  <c r="D154" i="11"/>
  <c r="E154" i="11" s="1"/>
  <c r="E155" i="11" s="1"/>
  <c r="G153" i="11"/>
  <c r="G146" i="31"/>
  <c r="D147" i="31"/>
  <c r="E147" i="31" s="1"/>
  <c r="G143" i="39"/>
  <c r="D144" i="39"/>
  <c r="E144" i="39" s="1"/>
  <c r="J150" i="3"/>
  <c r="G142" i="40"/>
  <c r="D143" i="40"/>
  <c r="E143" i="40" s="1"/>
  <c r="G149" i="57" l="1"/>
  <c r="D150" i="57"/>
  <c r="B150" i="57" s="1"/>
  <c r="E150" i="57"/>
  <c r="F150" i="57" s="1"/>
  <c r="H148" i="57"/>
  <c r="I148" i="57"/>
  <c r="E151" i="55"/>
  <c r="F151" i="55" s="1"/>
  <c r="G151" i="55" s="1"/>
  <c r="B153" i="13"/>
  <c r="F153" i="13"/>
  <c r="H152" i="13"/>
  <c r="I152" i="13"/>
  <c r="G147" i="46"/>
  <c r="G147" i="54"/>
  <c r="D148" i="54"/>
  <c r="B148" i="54" s="1"/>
  <c r="E148" i="46"/>
  <c r="F148" i="46" s="1"/>
  <c r="G148" i="46" s="1"/>
  <c r="I145" i="45"/>
  <c r="I147" i="46"/>
  <c r="H147" i="46"/>
  <c r="G144" i="47"/>
  <c r="D145" i="47"/>
  <c r="D146" i="45"/>
  <c r="G152" i="44"/>
  <c r="D153" i="44"/>
  <c r="E149" i="41"/>
  <c r="F149" i="41" s="1"/>
  <c r="G149" i="41" s="1"/>
  <c r="H149" i="41" s="1"/>
  <c r="D151" i="38"/>
  <c r="G150" i="38"/>
  <c r="E149" i="42"/>
  <c r="F149" i="42" s="1"/>
  <c r="B149" i="42"/>
  <c r="I148" i="42"/>
  <c r="H148" i="42"/>
  <c r="B143" i="40"/>
  <c r="F143" i="40"/>
  <c r="H142" i="40"/>
  <c r="I142" i="40"/>
  <c r="I153" i="11"/>
  <c r="H153" i="11"/>
  <c r="H151" i="3"/>
  <c r="I151" i="3"/>
  <c r="J154" i="7"/>
  <c r="J155" i="7" s="1"/>
  <c r="I155" i="7"/>
  <c r="I153" i="9"/>
  <c r="H153" i="9"/>
  <c r="H143" i="37"/>
  <c r="I143" i="37"/>
  <c r="J154" i="10"/>
  <c r="J155" i="10" s="1"/>
  <c r="I155" i="10"/>
  <c r="H152" i="8"/>
  <c r="I152" i="8"/>
  <c r="B151" i="22"/>
  <c r="F151" i="22"/>
  <c r="H149" i="23"/>
  <c r="I149" i="23"/>
  <c r="B146" i="30"/>
  <c r="F146" i="30"/>
  <c r="B154" i="9"/>
  <c r="B144" i="43"/>
  <c r="F144" i="43"/>
  <c r="B147" i="28"/>
  <c r="F147" i="28"/>
  <c r="B149" i="24"/>
  <c r="F149" i="24"/>
  <c r="I150" i="22"/>
  <c r="H150" i="22"/>
  <c r="B154" i="11"/>
  <c r="F154" i="11"/>
  <c r="G154" i="11" s="1"/>
  <c r="B148" i="27"/>
  <c r="F148" i="27"/>
  <c r="I152" i="6"/>
  <c r="H152" i="6"/>
  <c r="I145" i="30"/>
  <c r="H145" i="30"/>
  <c r="B147" i="29"/>
  <c r="F147" i="29"/>
  <c r="I143" i="43"/>
  <c r="H143" i="43"/>
  <c r="B152" i="5"/>
  <c r="F152" i="5"/>
  <c r="B152" i="4"/>
  <c r="F152" i="4"/>
  <c r="I146" i="28"/>
  <c r="H146" i="28"/>
  <c r="H148" i="24"/>
  <c r="I148" i="24"/>
  <c r="B151" i="25"/>
  <c r="F151" i="25"/>
  <c r="B147" i="31"/>
  <c r="F147" i="31"/>
  <c r="B144" i="39"/>
  <c r="F144" i="39"/>
  <c r="H146" i="31"/>
  <c r="I146" i="31"/>
  <c r="H143" i="39"/>
  <c r="I143" i="39"/>
  <c r="B152" i="3"/>
  <c r="F152" i="3"/>
  <c r="H147" i="27"/>
  <c r="I147" i="27"/>
  <c r="B153" i="6"/>
  <c r="F153" i="6"/>
  <c r="E154" i="9"/>
  <c r="E155" i="9" s="1"/>
  <c r="B144" i="37"/>
  <c r="F144" i="37"/>
  <c r="H146" i="29"/>
  <c r="I146" i="29"/>
  <c r="H151" i="5"/>
  <c r="I151" i="5"/>
  <c r="B153" i="8"/>
  <c r="F153" i="8"/>
  <c r="H151" i="4"/>
  <c r="I151" i="4"/>
  <c r="B150" i="23"/>
  <c r="F150" i="23"/>
  <c r="H150" i="25"/>
  <c r="I150" i="25"/>
  <c r="D152" i="55" l="1"/>
  <c r="D151" i="57"/>
  <c r="B151" i="57" s="1"/>
  <c r="G150" i="57"/>
  <c r="E151" i="57"/>
  <c r="F151" i="57" s="1"/>
  <c r="H149" i="57"/>
  <c r="I149" i="57"/>
  <c r="G153" i="13"/>
  <c r="D154" i="13"/>
  <c r="E148" i="54"/>
  <c r="F148" i="54" s="1"/>
  <c r="I147" i="54"/>
  <c r="H147" i="54"/>
  <c r="D149" i="46"/>
  <c r="B149" i="46" s="1"/>
  <c r="E152" i="55"/>
  <c r="F152" i="55" s="1"/>
  <c r="B152" i="55"/>
  <c r="H151" i="55"/>
  <c r="I151" i="55"/>
  <c r="E145" i="47"/>
  <c r="F145" i="47" s="1"/>
  <c r="B145" i="47"/>
  <c r="H144" i="47"/>
  <c r="I144" i="47"/>
  <c r="H148" i="46"/>
  <c r="I148" i="46"/>
  <c r="B146" i="45"/>
  <c r="E146" i="45"/>
  <c r="F146" i="45" s="1"/>
  <c r="D150" i="41"/>
  <c r="B150" i="41" s="1"/>
  <c r="I149" i="41"/>
  <c r="E153" i="44"/>
  <c r="F153" i="44" s="1"/>
  <c r="B153" i="44"/>
  <c r="H152" i="44"/>
  <c r="I152" i="44"/>
  <c r="H150" i="38"/>
  <c r="I150" i="38"/>
  <c r="G149" i="42"/>
  <c r="D150" i="42"/>
  <c r="B150" i="42" s="1"/>
  <c r="E151" i="38"/>
  <c r="F151" i="38" s="1"/>
  <c r="B151" i="38"/>
  <c r="J151" i="3"/>
  <c r="J146" i="29"/>
  <c r="J146" i="28"/>
  <c r="J152" i="6"/>
  <c r="J152" i="8"/>
  <c r="J151" i="4"/>
  <c r="J151" i="5"/>
  <c r="J145" i="30"/>
  <c r="D154" i="8"/>
  <c r="E154" i="8" s="1"/>
  <c r="E155" i="8" s="1"/>
  <c r="G153" i="8"/>
  <c r="J147" i="27"/>
  <c r="G144" i="39"/>
  <c r="D145" i="39"/>
  <c r="E145" i="39" s="1"/>
  <c r="G151" i="25"/>
  <c r="D152" i="25"/>
  <c r="E152" i="25" s="1"/>
  <c r="G152" i="5"/>
  <c r="D153" i="5"/>
  <c r="E153" i="5" s="1"/>
  <c r="G147" i="29"/>
  <c r="D148" i="29"/>
  <c r="E148" i="29" s="1"/>
  <c r="H154" i="11"/>
  <c r="H155" i="11" s="1"/>
  <c r="I154" i="11"/>
  <c r="I155" i="11" s="1"/>
  <c r="G149" i="24"/>
  <c r="D150" i="24"/>
  <c r="E150" i="24" s="1"/>
  <c r="G144" i="43"/>
  <c r="D145" i="43"/>
  <c r="E145" i="43" s="1"/>
  <c r="G146" i="30"/>
  <c r="D147" i="30"/>
  <c r="E147" i="30" s="1"/>
  <c r="G151" i="22"/>
  <c r="D152" i="22"/>
  <c r="E152" i="22" s="1"/>
  <c r="D154" i="6"/>
  <c r="E154" i="6" s="1"/>
  <c r="E155" i="6" s="1"/>
  <c r="G153" i="6"/>
  <c r="G152" i="3"/>
  <c r="D153" i="3"/>
  <c r="E153" i="3" s="1"/>
  <c r="J146" i="31"/>
  <c r="G147" i="31"/>
  <c r="D148" i="31"/>
  <c r="E148" i="31" s="1"/>
  <c r="G152" i="4"/>
  <c r="D153" i="4"/>
  <c r="E153" i="4" s="1"/>
  <c r="G148" i="27"/>
  <c r="D149" i="27"/>
  <c r="E149" i="27" s="1"/>
  <c r="G147" i="28"/>
  <c r="D148" i="28"/>
  <c r="E148" i="28" s="1"/>
  <c r="F154" i="9"/>
  <c r="G154" i="9" s="1"/>
  <c r="G143" i="40"/>
  <c r="D144" i="40"/>
  <c r="E144" i="40" s="1"/>
  <c r="D151" i="23"/>
  <c r="E151" i="23" s="1"/>
  <c r="G150" i="23"/>
  <c r="G144" i="37"/>
  <c r="D145" i="37"/>
  <c r="E145" i="37" s="1"/>
  <c r="I150" i="57" l="1"/>
  <c r="H150" i="57"/>
  <c r="D152" i="57"/>
  <c r="B152" i="57" s="1"/>
  <c r="G151" i="57"/>
  <c r="E152" i="57"/>
  <c r="F152" i="57" s="1"/>
  <c r="E154" i="13"/>
  <c r="E155" i="13" s="1"/>
  <c r="B154" i="13"/>
  <c r="I153" i="13"/>
  <c r="H153" i="13"/>
  <c r="D149" i="54"/>
  <c r="B149" i="54" s="1"/>
  <c r="G148" i="54"/>
  <c r="E149" i="46"/>
  <c r="F149" i="46" s="1"/>
  <c r="D150" i="46" s="1"/>
  <c r="B150" i="46" s="1"/>
  <c r="D153" i="55"/>
  <c r="G152" i="55"/>
  <c r="G145" i="47"/>
  <c r="D146" i="47"/>
  <c r="D147" i="45"/>
  <c r="B147" i="45" s="1"/>
  <c r="G146" i="45"/>
  <c r="D154" i="44"/>
  <c r="G153" i="44"/>
  <c r="E150" i="41"/>
  <c r="F150" i="41" s="1"/>
  <c r="E150" i="42"/>
  <c r="F150" i="42" s="1"/>
  <c r="D151" i="42" s="1"/>
  <c r="D152" i="38"/>
  <c r="G151" i="38"/>
  <c r="I149" i="42"/>
  <c r="H149" i="42"/>
  <c r="B144" i="40"/>
  <c r="F144" i="40"/>
  <c r="B148" i="28"/>
  <c r="F148" i="28"/>
  <c r="H148" i="27"/>
  <c r="I148" i="27"/>
  <c r="H153" i="6"/>
  <c r="I153" i="6"/>
  <c r="H151" i="22"/>
  <c r="I151" i="22"/>
  <c r="B150" i="24"/>
  <c r="F150" i="24"/>
  <c r="B153" i="5"/>
  <c r="F153" i="5"/>
  <c r="I151" i="25"/>
  <c r="H151" i="25"/>
  <c r="H150" i="23"/>
  <c r="I150" i="23"/>
  <c r="I143" i="40"/>
  <c r="H143" i="40"/>
  <c r="I147" i="28"/>
  <c r="H147" i="28"/>
  <c r="B148" i="31"/>
  <c r="F148" i="31"/>
  <c r="B153" i="3"/>
  <c r="F153" i="3"/>
  <c r="B154" i="6"/>
  <c r="F154" i="6"/>
  <c r="G154" i="6" s="1"/>
  <c r="B145" i="43"/>
  <c r="F145" i="43"/>
  <c r="H149" i="24"/>
  <c r="I149" i="24"/>
  <c r="B148" i="29"/>
  <c r="F148" i="29"/>
  <c r="H152" i="5"/>
  <c r="I152" i="5"/>
  <c r="B151" i="23"/>
  <c r="F151" i="23"/>
  <c r="H154" i="9"/>
  <c r="H155" i="9" s="1"/>
  <c r="I154" i="9"/>
  <c r="I155" i="9" s="1"/>
  <c r="B153" i="4"/>
  <c r="F153" i="4"/>
  <c r="H147" i="31"/>
  <c r="I147" i="31"/>
  <c r="H152" i="3"/>
  <c r="I152" i="3"/>
  <c r="B147" i="30"/>
  <c r="F147" i="30"/>
  <c r="H144" i="43"/>
  <c r="I144" i="43"/>
  <c r="H147" i="29"/>
  <c r="I147" i="29"/>
  <c r="B145" i="39"/>
  <c r="F145" i="39"/>
  <c r="H153" i="8"/>
  <c r="I153" i="8"/>
  <c r="B145" i="37"/>
  <c r="F145" i="37"/>
  <c r="H144" i="37"/>
  <c r="I144" i="37"/>
  <c r="B149" i="27"/>
  <c r="F149" i="27"/>
  <c r="H152" i="4"/>
  <c r="I152" i="4"/>
  <c r="B152" i="22"/>
  <c r="F152" i="22"/>
  <c r="H146" i="30"/>
  <c r="I146" i="30"/>
  <c r="B152" i="25"/>
  <c r="F152" i="25"/>
  <c r="H144" i="39"/>
  <c r="I144" i="39"/>
  <c r="B154" i="8"/>
  <c r="F154" i="8"/>
  <c r="G154" i="8" s="1"/>
  <c r="D153" i="57" l="1"/>
  <c r="G152" i="57"/>
  <c r="E153" i="57"/>
  <c r="H151" i="57"/>
  <c r="I151" i="57"/>
  <c r="G149" i="46"/>
  <c r="H149" i="46" s="1"/>
  <c r="F154" i="13"/>
  <c r="G154" i="13" s="1"/>
  <c r="I154" i="13" s="1"/>
  <c r="I155" i="13" s="1"/>
  <c r="E149" i="54"/>
  <c r="F149" i="54" s="1"/>
  <c r="G149" i="54" s="1"/>
  <c r="E150" i="46"/>
  <c r="F150" i="46" s="1"/>
  <c r="D151" i="46" s="1"/>
  <c r="B151" i="46" s="1"/>
  <c r="I149" i="46"/>
  <c r="H148" i="54"/>
  <c r="I148" i="54"/>
  <c r="D150" i="54"/>
  <c r="B150" i="54" s="1"/>
  <c r="I152" i="55"/>
  <c r="H152" i="55"/>
  <c r="B153" i="55"/>
  <c r="E153" i="55"/>
  <c r="F153" i="55" s="1"/>
  <c r="E151" i="46"/>
  <c r="F151" i="46" s="1"/>
  <c r="H146" i="45"/>
  <c r="I146" i="45"/>
  <c r="E146" i="47"/>
  <c r="F146" i="47" s="1"/>
  <c r="B146" i="47"/>
  <c r="E147" i="45"/>
  <c r="F147" i="45" s="1"/>
  <c r="H145" i="47"/>
  <c r="I145" i="47"/>
  <c r="G150" i="42"/>
  <c r="I150" i="42" s="1"/>
  <c r="D151" i="41"/>
  <c r="E151" i="41" s="1"/>
  <c r="G150" i="41"/>
  <c r="H153" i="44"/>
  <c r="I153" i="44"/>
  <c r="E154" i="44"/>
  <c r="E155" i="44" s="1"/>
  <c r="B154" i="44"/>
  <c r="E151" i="42"/>
  <c r="F151" i="42" s="1"/>
  <c r="B151" i="42"/>
  <c r="H151" i="38"/>
  <c r="I151" i="38"/>
  <c r="E152" i="38"/>
  <c r="F152" i="38" s="1"/>
  <c r="B152" i="38"/>
  <c r="J148" i="27"/>
  <c r="J146" i="30"/>
  <c r="J152" i="4"/>
  <c r="J153" i="8"/>
  <c r="J147" i="29"/>
  <c r="G147" i="30"/>
  <c r="D148" i="30"/>
  <c r="E148" i="30" s="1"/>
  <c r="J147" i="31"/>
  <c r="J152" i="5"/>
  <c r="H154" i="6"/>
  <c r="H155" i="6" s="1"/>
  <c r="I154" i="6"/>
  <c r="D149" i="31"/>
  <c r="E149" i="31" s="1"/>
  <c r="G148" i="31"/>
  <c r="G150" i="24"/>
  <c r="D151" i="24"/>
  <c r="E151" i="24" s="1"/>
  <c r="J153" i="6"/>
  <c r="G148" i="28"/>
  <c r="D149" i="28"/>
  <c r="E149" i="28" s="1"/>
  <c r="H154" i="8"/>
  <c r="H155" i="8" s="1"/>
  <c r="I154" i="8"/>
  <c r="G152" i="25"/>
  <c r="D153" i="25"/>
  <c r="E153" i="25" s="1"/>
  <c r="G152" i="22"/>
  <c r="D153" i="22"/>
  <c r="E153" i="22" s="1"/>
  <c r="D150" i="27"/>
  <c r="E150" i="27" s="1"/>
  <c r="G149" i="27"/>
  <c r="G145" i="37"/>
  <c r="D146" i="37"/>
  <c r="E146" i="37" s="1"/>
  <c r="G145" i="39"/>
  <c r="D146" i="39"/>
  <c r="E146" i="39" s="1"/>
  <c r="J152" i="3"/>
  <c r="G153" i="4"/>
  <c r="D154" i="4"/>
  <c r="E154" i="4" s="1"/>
  <c r="E155" i="4" s="1"/>
  <c r="G151" i="23"/>
  <c r="D152" i="23"/>
  <c r="E152" i="23" s="1"/>
  <c r="G148" i="29"/>
  <c r="D149" i="29"/>
  <c r="E149" i="29" s="1"/>
  <c r="G145" i="43"/>
  <c r="D146" i="43"/>
  <c r="E146" i="43" s="1"/>
  <c r="G153" i="3"/>
  <c r="D154" i="3"/>
  <c r="E154" i="3" s="1"/>
  <c r="E155" i="3" s="1"/>
  <c r="G153" i="5"/>
  <c r="D154" i="5"/>
  <c r="E154" i="5" s="1"/>
  <c r="E155" i="5" s="1"/>
  <c r="G144" i="40"/>
  <c r="D145" i="40"/>
  <c r="E145" i="40" s="1"/>
  <c r="J147" i="28"/>
  <c r="G150" i="46" l="1"/>
  <c r="H150" i="46" s="1"/>
  <c r="H154" i="13"/>
  <c r="H155" i="13" s="1"/>
  <c r="I152" i="57"/>
  <c r="H152" i="57"/>
  <c r="F153" i="57"/>
  <c r="B153" i="57"/>
  <c r="E150" i="54"/>
  <c r="F150" i="54" s="1"/>
  <c r="G150" i="54" s="1"/>
  <c r="I150" i="46"/>
  <c r="I149" i="54"/>
  <c r="H149" i="54"/>
  <c r="D154" i="55"/>
  <c r="G153" i="55"/>
  <c r="D147" i="47"/>
  <c r="G146" i="47"/>
  <c r="G147" i="45"/>
  <c r="D148" i="45"/>
  <c r="G151" i="46"/>
  <c r="D152" i="46"/>
  <c r="B152" i="46" s="1"/>
  <c r="H150" i="42"/>
  <c r="F154" i="44"/>
  <c r="G154" i="44" s="1"/>
  <c r="H154" i="44" s="1"/>
  <c r="H155" i="44" s="1"/>
  <c r="I150" i="41"/>
  <c r="H150" i="41"/>
  <c r="B151" i="41"/>
  <c r="F151" i="41"/>
  <c r="G151" i="42"/>
  <c r="D152" i="42"/>
  <c r="D153" i="38"/>
  <c r="B153" i="38" s="1"/>
  <c r="G152" i="38"/>
  <c r="B154" i="3"/>
  <c r="F154" i="3"/>
  <c r="G154" i="3" s="1"/>
  <c r="I145" i="43"/>
  <c r="H145" i="43"/>
  <c r="B154" i="4"/>
  <c r="F154" i="4"/>
  <c r="G154" i="4" s="1"/>
  <c r="B146" i="39"/>
  <c r="F146" i="39"/>
  <c r="H145" i="37"/>
  <c r="I145" i="37"/>
  <c r="B153" i="25"/>
  <c r="F153" i="25"/>
  <c r="H148" i="31"/>
  <c r="I148" i="31"/>
  <c r="H147" i="30"/>
  <c r="I147" i="30"/>
  <c r="H153" i="3"/>
  <c r="I153" i="3"/>
  <c r="F152" i="23"/>
  <c r="B152" i="23"/>
  <c r="H153" i="4"/>
  <c r="I153" i="4"/>
  <c r="H145" i="39"/>
  <c r="I145" i="39"/>
  <c r="B153" i="22"/>
  <c r="F153" i="22"/>
  <c r="H152" i="25"/>
  <c r="I152" i="25"/>
  <c r="B149" i="28"/>
  <c r="F149" i="28"/>
  <c r="B151" i="24"/>
  <c r="F151" i="24"/>
  <c r="B149" i="31"/>
  <c r="F149" i="31"/>
  <c r="I144" i="40"/>
  <c r="H144" i="40"/>
  <c r="B154" i="5"/>
  <c r="F154" i="5"/>
  <c r="G154" i="5" s="1"/>
  <c r="B145" i="40"/>
  <c r="F145" i="40"/>
  <c r="H153" i="5"/>
  <c r="I153" i="5"/>
  <c r="B149" i="29"/>
  <c r="F149" i="29"/>
  <c r="H151" i="23"/>
  <c r="I151" i="23"/>
  <c r="H149" i="27"/>
  <c r="I149" i="27"/>
  <c r="I152" i="22"/>
  <c r="H152" i="22"/>
  <c r="J154" i="8"/>
  <c r="J155" i="8" s="1"/>
  <c r="I155" i="8"/>
  <c r="I148" i="28"/>
  <c r="H148" i="28"/>
  <c r="I150" i="24"/>
  <c r="H150" i="24"/>
  <c r="J154" i="6"/>
  <c r="J155" i="6" s="1"/>
  <c r="I155" i="6"/>
  <c r="B146" i="43"/>
  <c r="F146" i="43"/>
  <c r="H148" i="29"/>
  <c r="I148" i="29"/>
  <c r="B146" i="37"/>
  <c r="F146" i="37"/>
  <c r="B150" i="27"/>
  <c r="F150" i="27"/>
  <c r="B148" i="30"/>
  <c r="F148" i="30"/>
  <c r="G153" i="57" l="1"/>
  <c r="D154" i="57"/>
  <c r="E154" i="57"/>
  <c r="E155" i="57" s="1"/>
  <c r="D151" i="54"/>
  <c r="B151" i="54" s="1"/>
  <c r="E151" i="54"/>
  <c r="F151" i="54" s="1"/>
  <c r="D152" i="54" s="1"/>
  <c r="B152" i="54" s="1"/>
  <c r="G151" i="54"/>
  <c r="H150" i="54"/>
  <c r="I150" i="54"/>
  <c r="H153" i="55"/>
  <c r="I153" i="55"/>
  <c r="E154" i="55"/>
  <c r="E155" i="55" s="1"/>
  <c r="B154" i="55"/>
  <c r="E152" i="46"/>
  <c r="F152" i="46" s="1"/>
  <c r="D153" i="46" s="1"/>
  <c r="B153" i="46" s="1"/>
  <c r="B148" i="45"/>
  <c r="E148" i="45"/>
  <c r="F148" i="45" s="1"/>
  <c r="H147" i="45"/>
  <c r="I147" i="45"/>
  <c r="H146" i="47"/>
  <c r="I146" i="47"/>
  <c r="I151" i="46"/>
  <c r="H151" i="46"/>
  <c r="E147" i="47"/>
  <c r="F147" i="47" s="1"/>
  <c r="B147" i="47"/>
  <c r="I154" i="44"/>
  <c r="I155" i="44" s="1"/>
  <c r="D152" i="41"/>
  <c r="G151" i="41"/>
  <c r="E152" i="42"/>
  <c r="F152" i="42" s="1"/>
  <c r="B152" i="42"/>
  <c r="E153" i="38"/>
  <c r="F153" i="38" s="1"/>
  <c r="H151" i="42"/>
  <c r="I151" i="42"/>
  <c r="I152" i="38"/>
  <c r="H152" i="38"/>
  <c r="J153" i="4"/>
  <c r="J153" i="5"/>
  <c r="J153" i="3"/>
  <c r="J148" i="31"/>
  <c r="J148" i="29"/>
  <c r="D151" i="27"/>
  <c r="E151" i="27" s="1"/>
  <c r="G150" i="27"/>
  <c r="G148" i="30"/>
  <c r="D149" i="30"/>
  <c r="E149" i="30" s="1"/>
  <c r="G146" i="37"/>
  <c r="D147" i="37"/>
  <c r="E147" i="37" s="1"/>
  <c r="G146" i="43"/>
  <c r="D147" i="43"/>
  <c r="E147" i="43" s="1"/>
  <c r="J149" i="27"/>
  <c r="G149" i="29"/>
  <c r="D150" i="29"/>
  <c r="E150" i="29" s="1"/>
  <c r="G145" i="40"/>
  <c r="D146" i="40"/>
  <c r="E146" i="40" s="1"/>
  <c r="G151" i="24"/>
  <c r="D152" i="24"/>
  <c r="E152" i="24" s="1"/>
  <c r="J147" i="30"/>
  <c r="G153" i="25"/>
  <c r="D154" i="25"/>
  <c r="E154" i="25" s="1"/>
  <c r="E155" i="25" s="1"/>
  <c r="G146" i="39"/>
  <c r="D147" i="39"/>
  <c r="E147" i="39" s="1"/>
  <c r="D153" i="23"/>
  <c r="E153" i="23" s="1"/>
  <c r="G152" i="23"/>
  <c r="H154" i="5"/>
  <c r="H155" i="5" s="1"/>
  <c r="I154" i="5"/>
  <c r="G149" i="31"/>
  <c r="D150" i="31"/>
  <c r="E150" i="31" s="1"/>
  <c r="D150" i="28"/>
  <c r="E150" i="28" s="1"/>
  <c r="G149" i="28"/>
  <c r="G153" i="22"/>
  <c r="D154" i="22"/>
  <c r="E154" i="22" s="1"/>
  <c r="E155" i="22" s="1"/>
  <c r="H154" i="4"/>
  <c r="H155" i="4" s="1"/>
  <c r="I154" i="4"/>
  <c r="H154" i="3"/>
  <c r="H155" i="3" s="1"/>
  <c r="I154" i="3"/>
  <c r="J148" i="28"/>
  <c r="B154" i="57" l="1"/>
  <c r="F154" i="57"/>
  <c r="G154" i="57" s="1"/>
  <c r="H153" i="57"/>
  <c r="I153" i="57"/>
  <c r="E152" i="54"/>
  <c r="F152" i="54" s="1"/>
  <c r="D153" i="54" s="1"/>
  <c r="B153" i="54" s="1"/>
  <c r="H151" i="54"/>
  <c r="I151" i="54"/>
  <c r="G152" i="46"/>
  <c r="I152" i="46" s="1"/>
  <c r="F154" i="55"/>
  <c r="G154" i="55" s="1"/>
  <c r="H154" i="55" s="1"/>
  <c r="H155" i="55" s="1"/>
  <c r="D148" i="47"/>
  <c r="E148" i="47" s="1"/>
  <c r="G147" i="47"/>
  <c r="G148" i="45"/>
  <c r="D149" i="45"/>
  <c r="E153" i="46"/>
  <c r="F153" i="46" s="1"/>
  <c r="I151" i="41"/>
  <c r="H151" i="41"/>
  <c r="E152" i="41"/>
  <c r="F152" i="41" s="1"/>
  <c r="B152" i="41"/>
  <c r="D153" i="42"/>
  <c r="G152" i="42"/>
  <c r="G153" i="38"/>
  <c r="D154" i="38"/>
  <c r="B150" i="31"/>
  <c r="F150" i="31"/>
  <c r="F147" i="39"/>
  <c r="B147" i="39"/>
  <c r="I153" i="25"/>
  <c r="H153" i="25"/>
  <c r="I151" i="24"/>
  <c r="H151" i="24"/>
  <c r="B147" i="37"/>
  <c r="F147" i="37"/>
  <c r="I148" i="30"/>
  <c r="H148" i="30"/>
  <c r="I153" i="22"/>
  <c r="H153" i="22"/>
  <c r="J154" i="3"/>
  <c r="J155" i="3" s="1"/>
  <c r="I155" i="3"/>
  <c r="H149" i="28"/>
  <c r="I149" i="28"/>
  <c r="I149" i="31"/>
  <c r="H149" i="31"/>
  <c r="I152" i="23"/>
  <c r="H152" i="23"/>
  <c r="H146" i="39"/>
  <c r="I146" i="39"/>
  <c r="B150" i="29"/>
  <c r="F150" i="29"/>
  <c r="B147" i="43"/>
  <c r="F147" i="43"/>
  <c r="I146" i="37"/>
  <c r="H146" i="37"/>
  <c r="B154" i="22"/>
  <c r="F154" i="22"/>
  <c r="G154" i="22" s="1"/>
  <c r="B150" i="28"/>
  <c r="F150" i="28"/>
  <c r="J154" i="5"/>
  <c r="J155" i="5" s="1"/>
  <c r="I155" i="5"/>
  <c r="B153" i="23"/>
  <c r="F153" i="23"/>
  <c r="B146" i="40"/>
  <c r="F146" i="40"/>
  <c r="H149" i="29"/>
  <c r="I149" i="29"/>
  <c r="H146" i="43"/>
  <c r="I146" i="43"/>
  <c r="H150" i="27"/>
  <c r="I150" i="27"/>
  <c r="J154" i="4"/>
  <c r="J155" i="4" s="1"/>
  <c r="I155" i="4"/>
  <c r="B154" i="25"/>
  <c r="F154" i="25"/>
  <c r="G154" i="25" s="1"/>
  <c r="B152" i="24"/>
  <c r="F152" i="24"/>
  <c r="I145" i="40"/>
  <c r="H145" i="40"/>
  <c r="B149" i="30"/>
  <c r="F149" i="30"/>
  <c r="B151" i="27"/>
  <c r="F151" i="27"/>
  <c r="H152" i="46" l="1"/>
  <c r="I154" i="57"/>
  <c r="I155" i="57" s="1"/>
  <c r="H154" i="57"/>
  <c r="H155" i="57" s="1"/>
  <c r="G152" i="54"/>
  <c r="I154" i="55"/>
  <c r="I155" i="55" s="1"/>
  <c r="E153" i="54"/>
  <c r="F153" i="54" s="1"/>
  <c r="D154" i="54" s="1"/>
  <c r="H152" i="54"/>
  <c r="I152" i="54"/>
  <c r="G153" i="46"/>
  <c r="D154" i="46"/>
  <c r="B149" i="45"/>
  <c r="E149" i="45"/>
  <c r="F149" i="45" s="1"/>
  <c r="H148" i="45"/>
  <c r="I148" i="45"/>
  <c r="I147" i="47"/>
  <c r="H147" i="47"/>
  <c r="F148" i="47"/>
  <c r="B148" i="47"/>
  <c r="G152" i="41"/>
  <c r="D153" i="41"/>
  <c r="B153" i="41" s="1"/>
  <c r="E154" i="38"/>
  <c r="E155" i="38" s="1"/>
  <c r="B154" i="38"/>
  <c r="I153" i="38"/>
  <c r="H153" i="38"/>
  <c r="I152" i="42"/>
  <c r="H152" i="42"/>
  <c r="E153" i="42"/>
  <c r="F153" i="42" s="1"/>
  <c r="B153" i="42"/>
  <c r="J149" i="28"/>
  <c r="J149" i="31"/>
  <c r="G152" i="24"/>
  <c r="D153" i="24"/>
  <c r="E153" i="24" s="1"/>
  <c r="G146" i="40"/>
  <c r="D147" i="40"/>
  <c r="E147" i="40" s="1"/>
  <c r="H154" i="22"/>
  <c r="H155" i="22" s="1"/>
  <c r="I154" i="22"/>
  <c r="I155" i="22" s="1"/>
  <c r="G147" i="43"/>
  <c r="D148" i="43"/>
  <c r="E148" i="43" s="1"/>
  <c r="J148" i="30"/>
  <c r="G147" i="39"/>
  <c r="D148" i="39"/>
  <c r="E148" i="39" s="1"/>
  <c r="D152" i="27"/>
  <c r="E152" i="27" s="1"/>
  <c r="G151" i="27"/>
  <c r="I154" i="25"/>
  <c r="I155" i="25" s="1"/>
  <c r="H154" i="25"/>
  <c r="H155" i="25" s="1"/>
  <c r="J150" i="27"/>
  <c r="J149" i="29"/>
  <c r="G153" i="23"/>
  <c r="D154" i="23"/>
  <c r="G150" i="28"/>
  <c r="D151" i="28"/>
  <c r="E151" i="28" s="1"/>
  <c r="G150" i="29"/>
  <c r="D151" i="29"/>
  <c r="E151" i="29" s="1"/>
  <c r="G147" i="37"/>
  <c r="D148" i="37"/>
  <c r="E148" i="37" s="1"/>
  <c r="G150" i="31"/>
  <c r="D151" i="31"/>
  <c r="G149" i="30"/>
  <c r="D150" i="30"/>
  <c r="E150" i="30" s="1"/>
  <c r="G153" i="54" l="1"/>
  <c r="H153" i="54" s="1"/>
  <c r="I153" i="54"/>
  <c r="E154" i="54"/>
  <c r="E155" i="54" s="1"/>
  <c r="B154" i="54"/>
  <c r="G149" i="45"/>
  <c r="D150" i="45"/>
  <c r="B150" i="45" s="1"/>
  <c r="E154" i="46"/>
  <c r="E155" i="46" s="1"/>
  <c r="B154" i="46"/>
  <c r="D149" i="47"/>
  <c r="G148" i="47"/>
  <c r="I153" i="46"/>
  <c r="H153" i="46"/>
  <c r="E153" i="41"/>
  <c r="F153" i="41" s="1"/>
  <c r="D154" i="41" s="1"/>
  <c r="E154" i="41" s="1"/>
  <c r="E155" i="41" s="1"/>
  <c r="F154" i="38"/>
  <c r="G154" i="38" s="1"/>
  <c r="H154" i="38" s="1"/>
  <c r="H155" i="38" s="1"/>
  <c r="H152" i="41"/>
  <c r="I152" i="41"/>
  <c r="D154" i="42"/>
  <c r="G153" i="42"/>
  <c r="I147" i="37"/>
  <c r="H147" i="37"/>
  <c r="B154" i="23"/>
  <c r="B152" i="27"/>
  <c r="F152" i="27"/>
  <c r="I146" i="40"/>
  <c r="H146" i="40"/>
  <c r="H150" i="31"/>
  <c r="I150" i="31"/>
  <c r="B151" i="28"/>
  <c r="F151" i="28"/>
  <c r="H153" i="23"/>
  <c r="I153" i="23"/>
  <c r="B150" i="30"/>
  <c r="F150" i="30"/>
  <c r="H149" i="30"/>
  <c r="I149" i="30"/>
  <c r="H150" i="28"/>
  <c r="I150" i="28"/>
  <c r="B148" i="39"/>
  <c r="F148" i="39"/>
  <c r="B148" i="43"/>
  <c r="F148" i="43"/>
  <c r="B153" i="24"/>
  <c r="F153" i="24"/>
  <c r="B151" i="31"/>
  <c r="B151" i="29"/>
  <c r="F151" i="29"/>
  <c r="E151" i="31"/>
  <c r="F151" i="31" s="1"/>
  <c r="B148" i="37"/>
  <c r="F148" i="37"/>
  <c r="I150" i="29"/>
  <c r="H150" i="29"/>
  <c r="E154" i="23"/>
  <c r="E155" i="23" s="1"/>
  <c r="H151" i="27"/>
  <c r="I151" i="27"/>
  <c r="I147" i="39"/>
  <c r="H147" i="39"/>
  <c r="H147" i="43"/>
  <c r="I147" i="43"/>
  <c r="B147" i="40"/>
  <c r="F147" i="40"/>
  <c r="I152" i="24"/>
  <c r="H152" i="24"/>
  <c r="F154" i="54" l="1"/>
  <c r="G154" i="54" s="1"/>
  <c r="I154" i="54"/>
  <c r="I155" i="54" s="1"/>
  <c r="H154" i="54"/>
  <c r="H155" i="54" s="1"/>
  <c r="E150" i="45"/>
  <c r="F150" i="45" s="1"/>
  <c r="G150" i="45" s="1"/>
  <c r="I150" i="45" s="1"/>
  <c r="H148" i="47"/>
  <c r="I148" i="47"/>
  <c r="E149" i="47"/>
  <c r="F149" i="47" s="1"/>
  <c r="B149" i="47"/>
  <c r="F154" i="46"/>
  <c r="G154" i="46" s="1"/>
  <c r="H149" i="45"/>
  <c r="I149" i="45"/>
  <c r="I154" i="38"/>
  <c r="I155" i="38" s="1"/>
  <c r="G153" i="41"/>
  <c r="F154" i="41"/>
  <c r="G154" i="41" s="1"/>
  <c r="H154" i="41" s="1"/>
  <c r="B154" i="41"/>
  <c r="I153" i="42"/>
  <c r="H153" i="42"/>
  <c r="E154" i="42"/>
  <c r="E155" i="42" s="1"/>
  <c r="B154" i="42"/>
  <c r="J151" i="27"/>
  <c r="J149" i="30"/>
  <c r="J150" i="31"/>
  <c r="G151" i="31"/>
  <c r="D152" i="31"/>
  <c r="E152" i="31" s="1"/>
  <c r="G148" i="43"/>
  <c r="D149" i="43"/>
  <c r="E149" i="43" s="1"/>
  <c r="J150" i="28"/>
  <c r="G150" i="30"/>
  <c r="D151" i="30"/>
  <c r="E151" i="30" s="1"/>
  <c r="G151" i="28"/>
  <c r="D152" i="28"/>
  <c r="E152" i="28" s="1"/>
  <c r="F154" i="23"/>
  <c r="G154" i="23" s="1"/>
  <c r="G147" i="40"/>
  <c r="D148" i="40"/>
  <c r="E148" i="40" s="1"/>
  <c r="J150" i="29"/>
  <c r="G151" i="29"/>
  <c r="D152" i="29"/>
  <c r="E152" i="29" s="1"/>
  <c r="G153" i="24"/>
  <c r="D154" i="24"/>
  <c r="E154" i="24" s="1"/>
  <c r="E155" i="24" s="1"/>
  <c r="G148" i="39"/>
  <c r="D149" i="39"/>
  <c r="E149" i="39" s="1"/>
  <c r="G152" i="27"/>
  <c r="D153" i="27"/>
  <c r="G148" i="37"/>
  <c r="D149" i="37"/>
  <c r="E149" i="37" s="1"/>
  <c r="H150" i="45" l="1"/>
  <c r="D151" i="45"/>
  <c r="B151" i="45" s="1"/>
  <c r="D150" i="47"/>
  <c r="G149" i="47"/>
  <c r="I154" i="46"/>
  <c r="I155" i="46" s="1"/>
  <c r="H154" i="46"/>
  <c r="H155" i="46" s="1"/>
  <c r="I154" i="41"/>
  <c r="H153" i="41"/>
  <c r="H155" i="41" s="1"/>
  <c r="I153" i="41"/>
  <c r="F154" i="42"/>
  <c r="G154" i="42" s="1"/>
  <c r="I154" i="42" s="1"/>
  <c r="I155" i="42" s="1"/>
  <c r="B153" i="27"/>
  <c r="H148" i="39"/>
  <c r="I148" i="39"/>
  <c r="I152" i="27"/>
  <c r="H152" i="27"/>
  <c r="F152" i="29"/>
  <c r="B152" i="29"/>
  <c r="B148" i="40"/>
  <c r="F148" i="40"/>
  <c r="B152" i="28"/>
  <c r="F152" i="28"/>
  <c r="H150" i="30"/>
  <c r="I150" i="30"/>
  <c r="H148" i="43"/>
  <c r="I148" i="43"/>
  <c r="E153" i="27"/>
  <c r="F153" i="27" s="1"/>
  <c r="B149" i="37"/>
  <c r="F149" i="37"/>
  <c r="H148" i="37"/>
  <c r="I148" i="37"/>
  <c r="B154" i="24"/>
  <c r="F154" i="24"/>
  <c r="G154" i="24" s="1"/>
  <c r="H151" i="29"/>
  <c r="I151" i="29"/>
  <c r="I147" i="40"/>
  <c r="H147" i="40"/>
  <c r="I151" i="28"/>
  <c r="H151" i="28"/>
  <c r="F149" i="39"/>
  <c r="B149" i="39"/>
  <c r="H153" i="24"/>
  <c r="I153" i="24"/>
  <c r="I154" i="23"/>
  <c r="I155" i="23" s="1"/>
  <c r="H154" i="23"/>
  <c r="H155" i="23" s="1"/>
  <c r="F152" i="31"/>
  <c r="B152" i="31"/>
  <c r="B151" i="30"/>
  <c r="F151" i="30"/>
  <c r="B149" i="43"/>
  <c r="F149" i="43"/>
  <c r="H151" i="31"/>
  <c r="I151" i="31"/>
  <c r="I155" i="41" l="1"/>
  <c r="E151" i="45"/>
  <c r="F151" i="45" s="1"/>
  <c r="D152" i="45" s="1"/>
  <c r="I149" i="47"/>
  <c r="H149" i="47"/>
  <c r="E150" i="47"/>
  <c r="F150" i="47" s="1"/>
  <c r="B150" i="47"/>
  <c r="H154" i="42"/>
  <c r="H155" i="42" s="1"/>
  <c r="J151" i="29"/>
  <c r="J151" i="31"/>
  <c r="J150" i="30"/>
  <c r="G153" i="27"/>
  <c r="D154" i="27"/>
  <c r="E154" i="27" s="1"/>
  <c r="E155" i="27" s="1"/>
  <c r="G152" i="31"/>
  <c r="D153" i="31"/>
  <c r="E153" i="31" s="1"/>
  <c r="J151" i="28"/>
  <c r="G152" i="28"/>
  <c r="D153" i="28"/>
  <c r="E153" i="28" s="1"/>
  <c r="G151" i="30"/>
  <c r="D152" i="30"/>
  <c r="E152" i="30" s="1"/>
  <c r="I154" i="24"/>
  <c r="I155" i="24" s="1"/>
  <c r="H154" i="24"/>
  <c r="H155" i="24" s="1"/>
  <c r="G149" i="37"/>
  <c r="D150" i="37"/>
  <c r="E150" i="37" s="1"/>
  <c r="G152" i="29"/>
  <c r="D153" i="29"/>
  <c r="E153" i="29" s="1"/>
  <c r="G149" i="39"/>
  <c r="D150" i="39"/>
  <c r="E150" i="39" s="1"/>
  <c r="G148" i="40"/>
  <c r="D149" i="40"/>
  <c r="E149" i="40" s="1"/>
  <c r="G149" i="43"/>
  <c r="D150" i="43"/>
  <c r="E150" i="43" s="1"/>
  <c r="J152" i="27"/>
  <c r="G151" i="45" l="1"/>
  <c r="H151" i="45" s="1"/>
  <c r="B152" i="45"/>
  <c r="E152" i="45"/>
  <c r="F152" i="45" s="1"/>
  <c r="D151" i="47"/>
  <c r="B151" i="47" s="1"/>
  <c r="G150" i="47"/>
  <c r="H149" i="43"/>
  <c r="I149" i="43"/>
  <c r="B153" i="29"/>
  <c r="F153" i="29"/>
  <c r="I149" i="37"/>
  <c r="H149" i="37"/>
  <c r="B152" i="30"/>
  <c r="F152" i="30"/>
  <c r="H152" i="28"/>
  <c r="I152" i="28"/>
  <c r="H152" i="31"/>
  <c r="I152" i="31"/>
  <c r="B150" i="39"/>
  <c r="F150" i="39"/>
  <c r="H152" i="29"/>
  <c r="I152" i="29"/>
  <c r="H151" i="30"/>
  <c r="I151" i="30"/>
  <c r="B149" i="40"/>
  <c r="F149" i="40"/>
  <c r="H149" i="39"/>
  <c r="I149" i="39"/>
  <c r="B154" i="27"/>
  <c r="F154" i="27"/>
  <c r="G154" i="27" s="1"/>
  <c r="B150" i="43"/>
  <c r="F150" i="43"/>
  <c r="H148" i="40"/>
  <c r="I148" i="40"/>
  <c r="B150" i="37"/>
  <c r="F150" i="37"/>
  <c r="B153" i="28"/>
  <c r="F153" i="28"/>
  <c r="B153" i="31"/>
  <c r="F153" i="31"/>
  <c r="I153" i="27"/>
  <c r="H153" i="27"/>
  <c r="I151" i="45" l="1"/>
  <c r="E151" i="47"/>
  <c r="F151" i="47" s="1"/>
  <c r="D152" i="47" s="1"/>
  <c r="G152" i="45"/>
  <c r="D153" i="45"/>
  <c r="B153" i="45" s="1"/>
  <c r="I150" i="47"/>
  <c r="H150" i="47"/>
  <c r="J152" i="28"/>
  <c r="J151" i="30"/>
  <c r="J153" i="27"/>
  <c r="G153" i="28"/>
  <c r="D154" i="28"/>
  <c r="E154" i="28" s="1"/>
  <c r="E155" i="28" s="1"/>
  <c r="H154" i="27"/>
  <c r="H155" i="27" s="1"/>
  <c r="I154" i="27"/>
  <c r="D150" i="40"/>
  <c r="E150" i="40" s="1"/>
  <c r="G149" i="40"/>
  <c r="J152" i="29"/>
  <c r="J152" i="31"/>
  <c r="G152" i="30"/>
  <c r="D153" i="30"/>
  <c r="G153" i="29"/>
  <c r="D154" i="29"/>
  <c r="E154" i="29" s="1"/>
  <c r="E155" i="29" s="1"/>
  <c r="G153" i="31"/>
  <c r="D154" i="31"/>
  <c r="E154" i="31" s="1"/>
  <c r="E155" i="31" s="1"/>
  <c r="G150" i="37"/>
  <c r="D151" i="37"/>
  <c r="E151" i="37" s="1"/>
  <c r="G150" i="43"/>
  <c r="D151" i="43"/>
  <c r="G150" i="39"/>
  <c r="D151" i="39"/>
  <c r="E151" i="39" s="1"/>
  <c r="G151" i="47" l="1"/>
  <c r="H151" i="47" s="1"/>
  <c r="E153" i="45"/>
  <c r="F153" i="45" s="1"/>
  <c r="I152" i="45"/>
  <c r="H152" i="45"/>
  <c r="E152" i="47"/>
  <c r="F152" i="47" s="1"/>
  <c r="B152" i="47"/>
  <c r="B153" i="30"/>
  <c r="B151" i="39"/>
  <c r="F151" i="39"/>
  <c r="H150" i="43"/>
  <c r="I150" i="43"/>
  <c r="B154" i="29"/>
  <c r="F154" i="29"/>
  <c r="G154" i="29" s="1"/>
  <c r="I152" i="30"/>
  <c r="H152" i="30"/>
  <c r="H149" i="40"/>
  <c r="I149" i="40"/>
  <c r="B151" i="43"/>
  <c r="H150" i="37"/>
  <c r="I150" i="37"/>
  <c r="H150" i="39"/>
  <c r="I150" i="39"/>
  <c r="H153" i="29"/>
  <c r="I153" i="29"/>
  <c r="B150" i="40"/>
  <c r="F150" i="40"/>
  <c r="F154" i="28"/>
  <c r="G154" i="28" s="1"/>
  <c r="B154" i="28"/>
  <c r="B154" i="31"/>
  <c r="F154" i="31"/>
  <c r="G154" i="31" s="1"/>
  <c r="E151" i="43"/>
  <c r="F151" i="43" s="1"/>
  <c r="B151" i="37"/>
  <c r="F151" i="37"/>
  <c r="H153" i="31"/>
  <c r="I153" i="31"/>
  <c r="E153" i="30"/>
  <c r="F153" i="30" s="1"/>
  <c r="J154" i="27"/>
  <c r="J155" i="27" s="1"/>
  <c r="I155" i="27"/>
  <c r="H153" i="28"/>
  <c r="I153" i="28"/>
  <c r="I151" i="47" l="1"/>
  <c r="G153" i="45"/>
  <c r="D154" i="45"/>
  <c r="D153" i="47"/>
  <c r="G152" i="47"/>
  <c r="J153" i="31"/>
  <c r="G153" i="30"/>
  <c r="D154" i="30"/>
  <c r="E154" i="30" s="1"/>
  <c r="E155" i="30" s="1"/>
  <c r="G151" i="43"/>
  <c r="D152" i="43"/>
  <c r="E152" i="43" s="1"/>
  <c r="J153" i="28"/>
  <c r="J153" i="29"/>
  <c r="H154" i="29"/>
  <c r="H155" i="29" s="1"/>
  <c r="I154" i="29"/>
  <c r="G151" i="39"/>
  <c r="D152" i="39"/>
  <c r="H154" i="28"/>
  <c r="H155" i="28" s="1"/>
  <c r="I154" i="28"/>
  <c r="H154" i="31"/>
  <c r="H155" i="31" s="1"/>
  <c r="I154" i="31"/>
  <c r="G150" i="40"/>
  <c r="D151" i="40"/>
  <c r="E151" i="40" s="1"/>
  <c r="G151" i="37"/>
  <c r="D152" i="37"/>
  <c r="E152" i="37" s="1"/>
  <c r="J152" i="30"/>
  <c r="E154" i="45" l="1"/>
  <c r="E155" i="45" s="1"/>
  <c r="B154" i="45"/>
  <c r="H153" i="45"/>
  <c r="I153" i="45"/>
  <c r="H152" i="47"/>
  <c r="I152" i="47"/>
  <c r="E153" i="47"/>
  <c r="F153" i="47" s="1"/>
  <c r="B153" i="47"/>
  <c r="B152" i="39"/>
  <c r="H151" i="43"/>
  <c r="I151" i="43"/>
  <c r="B151" i="40"/>
  <c r="F151" i="40"/>
  <c r="I151" i="39"/>
  <c r="H151" i="39"/>
  <c r="J154" i="29"/>
  <c r="J155" i="29" s="1"/>
  <c r="I155" i="29"/>
  <c r="B154" i="30"/>
  <c r="F154" i="30"/>
  <c r="G154" i="30" s="1"/>
  <c r="J154" i="28"/>
  <c r="J155" i="28" s="1"/>
  <c r="I155" i="28"/>
  <c r="B152" i="37"/>
  <c r="F152" i="37"/>
  <c r="I150" i="40"/>
  <c r="H150" i="40"/>
  <c r="H151" i="37"/>
  <c r="I151" i="37"/>
  <c r="J154" i="31"/>
  <c r="J155" i="31" s="1"/>
  <c r="I155" i="31"/>
  <c r="E152" i="39"/>
  <c r="F152" i="39" s="1"/>
  <c r="B152" i="43"/>
  <c r="F152" i="43"/>
  <c r="H153" i="30"/>
  <c r="I153" i="30"/>
  <c r="F154" i="45" l="1"/>
  <c r="G154" i="45" s="1"/>
  <c r="H154" i="45" s="1"/>
  <c r="H155" i="45" s="1"/>
  <c r="I154" i="45"/>
  <c r="I155" i="45" s="1"/>
  <c r="D154" i="47"/>
  <c r="G153" i="47"/>
  <c r="G152" i="37"/>
  <c r="D153" i="37"/>
  <c r="E153" i="37" s="1"/>
  <c r="H154" i="30"/>
  <c r="H155" i="30" s="1"/>
  <c r="I154" i="30"/>
  <c r="G152" i="43"/>
  <c r="D153" i="43"/>
  <c r="E153" i="43" s="1"/>
  <c r="J153" i="30"/>
  <c r="G151" i="40"/>
  <c r="D152" i="40"/>
  <c r="G152" i="39"/>
  <c r="D153" i="39"/>
  <c r="E153" i="39" s="1"/>
  <c r="I153" i="47" l="1"/>
  <c r="H153" i="47"/>
  <c r="E154" i="47"/>
  <c r="E155" i="47" s="1"/>
  <c r="B154" i="47"/>
  <c r="B152" i="40"/>
  <c r="B153" i="43"/>
  <c r="F153" i="43"/>
  <c r="E152" i="40"/>
  <c r="F152" i="40" s="1"/>
  <c r="B153" i="37"/>
  <c r="F153" i="37"/>
  <c r="B153" i="39"/>
  <c r="F153" i="39"/>
  <c r="I151" i="40"/>
  <c r="H151" i="40"/>
  <c r="H152" i="43"/>
  <c r="I152" i="43"/>
  <c r="I152" i="39"/>
  <c r="H152" i="39"/>
  <c r="J154" i="30"/>
  <c r="J155" i="30" s="1"/>
  <c r="I155" i="30"/>
  <c r="I152" i="37"/>
  <c r="H152" i="37"/>
  <c r="F154" i="47" l="1"/>
  <c r="G154" i="47" s="1"/>
  <c r="D153" i="40"/>
  <c r="E153" i="40" s="1"/>
  <c r="G152" i="40"/>
  <c r="G153" i="43"/>
  <c r="D154" i="43"/>
  <c r="E154" i="43" s="1"/>
  <c r="E155" i="43" s="1"/>
  <c r="D154" i="37"/>
  <c r="E154" i="37" s="1"/>
  <c r="E155" i="37" s="1"/>
  <c r="G153" i="37"/>
  <c r="G153" i="39"/>
  <c r="D154" i="39"/>
  <c r="E154" i="39" s="1"/>
  <c r="E155" i="39" s="1"/>
  <c r="H154" i="47" l="1"/>
  <c r="H155" i="47" s="1"/>
  <c r="I154" i="47"/>
  <c r="I155" i="47" s="1"/>
  <c r="H153" i="37"/>
  <c r="I153" i="37"/>
  <c r="H153" i="43"/>
  <c r="I153" i="43"/>
  <c r="F154" i="37"/>
  <c r="G154" i="37" s="1"/>
  <c r="B154" i="37"/>
  <c r="B154" i="39"/>
  <c r="F154" i="39"/>
  <c r="G154" i="39" s="1"/>
  <c r="H153" i="39"/>
  <c r="I153" i="39"/>
  <c r="I152" i="40"/>
  <c r="H152" i="40"/>
  <c r="B154" i="43"/>
  <c r="F154" i="43"/>
  <c r="G154" i="43" s="1"/>
  <c r="F153" i="40"/>
  <c r="B153" i="40"/>
  <c r="H154" i="39" l="1"/>
  <c r="H155" i="39" s="1"/>
  <c r="I154" i="39"/>
  <c r="I155" i="39" s="1"/>
  <c r="G153" i="40"/>
  <c r="D154" i="40"/>
  <c r="I154" i="43"/>
  <c r="I155" i="43" s="1"/>
  <c r="H154" i="43"/>
  <c r="H155" i="43" s="1"/>
  <c r="H154" i="37"/>
  <c r="H155" i="37" s="1"/>
  <c r="I154" i="37"/>
  <c r="I155" i="37" s="1"/>
  <c r="B154" i="40" l="1"/>
  <c r="I153" i="40"/>
  <c r="H153" i="40"/>
  <c r="E154" i="40"/>
  <c r="E155" i="40" s="1"/>
  <c r="F154" i="40" l="1"/>
  <c r="G154" i="40" s="1"/>
  <c r="H154" i="40" s="1"/>
  <c r="H155" i="40" s="1"/>
  <c r="I154" i="40" l="1"/>
  <c r="I155" i="40" s="1"/>
  <c r="L45" i="17" l="1"/>
  <c r="V45" i="17" s="1"/>
  <c r="L36" i="17" l="1"/>
  <c r="V36" i="17" s="1"/>
  <c r="L31" i="17"/>
  <c r="V31" i="17" s="1"/>
  <c r="L37" i="17"/>
  <c r="V37" i="17" s="1"/>
  <c r="L26" i="17"/>
  <c r="V26" i="17" s="1"/>
  <c r="L33" i="17"/>
  <c r="V33" i="17" s="1"/>
  <c r="L22" i="17"/>
  <c r="V22" i="17" s="1"/>
  <c r="L24" i="17"/>
  <c r="V24" i="17" s="1"/>
  <c r="L25" i="17"/>
  <c r="V25" i="17" s="1"/>
  <c r="L43" i="17"/>
  <c r="V43" i="17" s="1"/>
  <c r="L41" i="17"/>
  <c r="V41" i="17" s="1"/>
  <c r="L34" i="17"/>
  <c r="V34" i="17" s="1"/>
  <c r="L32" i="17"/>
  <c r="V32" i="17" s="1"/>
  <c r="L20" i="17"/>
  <c r="V20" i="17" s="1"/>
  <c r="L19" i="17"/>
  <c r="V19" i="17" s="1"/>
  <c r="L21" i="17"/>
  <c r="V21" i="17" s="1"/>
  <c r="L29" i="17"/>
  <c r="V29" i="17" s="1"/>
  <c r="L28" i="17"/>
  <c r="V28" i="17" s="1"/>
  <c r="L23" i="17"/>
  <c r="V23" i="17" s="1"/>
  <c r="L44" i="17"/>
  <c r="V44" i="17" s="1"/>
  <c r="L40" i="17"/>
  <c r="V40" i="17" s="1"/>
  <c r="L38" i="17"/>
  <c r="V38" i="17" s="1"/>
  <c r="L30" i="17"/>
  <c r="V30" i="17" s="1"/>
  <c r="L27" i="17"/>
  <c r="V27" i="17" s="1"/>
  <c r="L35" i="17"/>
  <c r="V35" i="17" s="1"/>
  <c r="L42" i="17" l="1"/>
  <c r="V42" i="17" s="1"/>
  <c r="L39" i="17"/>
  <c r="V39" i="17" s="1"/>
  <c r="L18" i="17"/>
  <c r="V18" i="17" l="1"/>
  <c r="V56" i="17" s="1"/>
  <c r="Q51" i="17" s="1"/>
  <c r="R51" i="17" s="1"/>
  <c r="L56" i="17"/>
  <c r="Q54" i="17" l="1"/>
  <c r="R54" i="17" s="1"/>
  <c r="Q53" i="17"/>
  <c r="R53" i="17" s="1"/>
  <c r="Q52" i="17"/>
  <c r="R52" i="17" s="1"/>
  <c r="Q50" i="17"/>
  <c r="R50" i="17" s="1"/>
  <c r="Q49" i="17"/>
  <c r="R49" i="17" s="1"/>
  <c r="Q20" i="17"/>
  <c r="R20" i="17" s="1"/>
  <c r="Q21" i="17"/>
  <c r="R21" i="17" s="1"/>
  <c r="Q45" i="17"/>
  <c r="R45" i="17" s="1"/>
  <c r="Q19" i="17"/>
  <c r="R19" i="17" s="1"/>
  <c r="Q18" i="17"/>
  <c r="Q47" i="17"/>
  <c r="R47" i="17" s="1"/>
  <c r="Q46" i="17"/>
  <c r="R46" i="17" s="1"/>
  <c r="Q48" i="17"/>
  <c r="R48" i="17" s="1"/>
  <c r="Q38" i="17"/>
  <c r="R38" i="17" s="1"/>
  <c r="Q26" i="17"/>
  <c r="R26" i="17" s="1"/>
  <c r="Q29" i="17"/>
  <c r="R29" i="17" s="1"/>
  <c r="Q33" i="17"/>
  <c r="R33" i="17" s="1"/>
  <c r="Q31" i="17"/>
  <c r="R31" i="17" s="1"/>
  <c r="Q37" i="17"/>
  <c r="R37" i="17" s="1"/>
  <c r="Q34" i="17"/>
  <c r="R34" i="17" s="1"/>
  <c r="Q36" i="17"/>
  <c r="R36" i="17" s="1"/>
  <c r="Q44" i="17"/>
  <c r="R44" i="17" s="1"/>
  <c r="Q41" i="17"/>
  <c r="R41" i="17" s="1"/>
  <c r="Q30" i="17"/>
  <c r="R30" i="17" s="1"/>
  <c r="Q28" i="17"/>
  <c r="R28" i="17" s="1"/>
  <c r="Q27" i="17"/>
  <c r="R27" i="17" s="1"/>
  <c r="Q35" i="17"/>
  <c r="R35" i="17" s="1"/>
  <c r="Q43" i="17"/>
  <c r="R43" i="17" s="1"/>
  <c r="Q32" i="17"/>
  <c r="R32" i="17" s="1"/>
  <c r="Q25" i="17"/>
  <c r="R25" i="17" s="1"/>
  <c r="Q40" i="17"/>
  <c r="R40" i="17" s="1"/>
  <c r="Q24" i="17"/>
  <c r="R24" i="17" s="1"/>
  <c r="Q22" i="17"/>
  <c r="R22" i="17" s="1"/>
  <c r="Q23" i="17"/>
  <c r="R23" i="17" s="1"/>
  <c r="Q42" i="17"/>
  <c r="R42" i="17" s="1"/>
  <c r="Q39" i="17"/>
  <c r="R39" i="17" s="1"/>
  <c r="R18" i="17" l="1"/>
  <c r="R56" i="17" l="1"/>
  <c r="C33" i="4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l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M87" i="4"/>
  <c r="M89" i="4" s="1"/>
  <c r="N87" i="4"/>
  <c r="O17" i="2" s="1"/>
  <c r="N17" i="2" l="1"/>
  <c r="N19" i="2" s="1"/>
  <c r="N20" i="2" s="1"/>
  <c r="O19" i="2"/>
  <c r="N89" i="4"/>
  <c r="O87" i="4"/>
  <c r="O89" i="4" s="1"/>
  <c r="O20" i="2" l="1"/>
  <c r="N29" i="2"/>
  <c r="P17" i="2"/>
  <c r="P19" i="2" s="1"/>
  <c r="P20" i="2" s="1"/>
  <c r="F87" i="1" l="1"/>
  <c r="F88" i="1" s="1"/>
  <c r="F89" i="1" s="1"/>
  <c r="F91" i="1" s="1"/>
  <c r="F92" i="1" s="1"/>
  <c r="F93" i="1" s="1"/>
  <c r="D13" i="57" l="1"/>
  <c r="I14" i="57" s="1"/>
  <c r="D13" i="22"/>
  <c r="I14" i="22" s="1"/>
  <c r="D13" i="40"/>
  <c r="I14" i="40" s="1"/>
  <c r="D13" i="37"/>
  <c r="I14" i="37" s="1"/>
  <c r="D13" i="46"/>
  <c r="I14" i="46" s="1"/>
  <c r="D13" i="39"/>
  <c r="I14" i="39" s="1"/>
  <c r="D13" i="56"/>
  <c r="D13" i="48"/>
  <c r="I14" i="48" s="1"/>
  <c r="D13" i="27"/>
  <c r="I14" i="27" s="1"/>
  <c r="D13" i="42"/>
  <c r="I14" i="42" s="1"/>
  <c r="D13" i="11"/>
  <c r="I14" i="11" s="1"/>
  <c r="D13" i="4"/>
  <c r="I14" i="4" s="1"/>
  <c r="D13" i="25"/>
  <c r="I14" i="25" s="1"/>
  <c r="D13" i="47"/>
  <c r="I14" i="47" s="1"/>
  <c r="D13" i="29"/>
  <c r="I14" i="29" s="1"/>
  <c r="D13" i="41"/>
  <c r="I14" i="41" s="1"/>
  <c r="D13" i="5"/>
  <c r="I14" i="5" s="1"/>
  <c r="D13" i="38"/>
  <c r="I14" i="38" s="1"/>
  <c r="D13" i="59"/>
  <c r="I14" i="59" s="1"/>
  <c r="D13" i="54"/>
  <c r="I14" i="54" s="1"/>
  <c r="D13" i="49"/>
  <c r="I14" i="49" s="1"/>
  <c r="D13" i="45"/>
  <c r="I14" i="45" s="1"/>
  <c r="D13" i="24"/>
  <c r="I14" i="24" s="1"/>
  <c r="D13" i="6"/>
  <c r="I14" i="6" s="1"/>
  <c r="D13" i="3"/>
  <c r="I14" i="3" s="1"/>
  <c r="D13" i="44"/>
  <c r="I14" i="44" s="1"/>
  <c r="D13" i="9"/>
  <c r="I14" i="9" s="1"/>
  <c r="D13" i="58"/>
  <c r="I14" i="58" s="1"/>
  <c r="D13" i="55"/>
  <c r="I14" i="55" s="1"/>
  <c r="D13" i="28"/>
  <c r="I14" i="28" s="1"/>
  <c r="D13" i="13"/>
  <c r="I14" i="13" s="1"/>
  <c r="D13" i="43"/>
  <c r="I14" i="43" s="1"/>
  <c r="D13" i="7"/>
  <c r="I14" i="7" s="1"/>
  <c r="D13" i="23"/>
  <c r="I14" i="23" s="1"/>
  <c r="D13" i="8"/>
  <c r="I14" i="8" s="1"/>
  <c r="D13" i="10"/>
  <c r="I14" i="10" s="1"/>
  <c r="D13" i="30"/>
  <c r="I14" i="30" s="1"/>
  <c r="D13" i="31"/>
  <c r="I14" i="31" s="1"/>
  <c r="E18" i="13" l="1"/>
  <c r="F18" i="13" s="1"/>
  <c r="E19" i="13" s="1"/>
  <c r="E30" i="24"/>
  <c r="F30" i="24" s="1"/>
  <c r="E31" i="24" s="1"/>
  <c r="E29" i="29"/>
  <c r="F29" i="29" s="1"/>
  <c r="E30" i="29" s="1"/>
  <c r="E25" i="43"/>
  <c r="F25" i="43" s="1"/>
  <c r="E29" i="31"/>
  <c r="F29" i="31" s="1"/>
  <c r="E30" i="31" s="1"/>
  <c r="E29" i="28"/>
  <c r="F29" i="28" s="1"/>
  <c r="E30" i="28" s="1"/>
  <c r="E24" i="45"/>
  <c r="F24" i="45" s="1"/>
  <c r="E25" i="45" s="1"/>
  <c r="E21" i="47"/>
  <c r="F21" i="47" s="1"/>
  <c r="E26" i="39"/>
  <c r="F26" i="39" s="1"/>
  <c r="E27" i="39" s="1"/>
  <c r="E28" i="30"/>
  <c r="F28" i="30" s="1"/>
  <c r="E29" i="30" s="1"/>
  <c r="E19" i="55"/>
  <c r="F19" i="55" s="1"/>
  <c r="E21" i="49"/>
  <c r="F21" i="49" s="1"/>
  <c r="E22" i="49" s="1"/>
  <c r="E33" i="25"/>
  <c r="F33" i="25" s="1"/>
  <c r="E34" i="25" s="1"/>
  <c r="E23" i="46"/>
  <c r="F23" i="46" s="1"/>
  <c r="E25" i="41"/>
  <c r="F25" i="41" s="1"/>
  <c r="E26" i="41" s="1"/>
  <c r="E17" i="58"/>
  <c r="F17" i="58" s="1"/>
  <c r="E35" i="6"/>
  <c r="F35" i="6" s="1"/>
  <c r="E36" i="6" s="1"/>
  <c r="E35" i="8"/>
  <c r="F35" i="8" s="1"/>
  <c r="E36" i="9"/>
  <c r="F36" i="9" s="1"/>
  <c r="E17" i="59"/>
  <c r="F17" i="59" s="1"/>
  <c r="E18" i="59" s="1"/>
  <c r="E36" i="11"/>
  <c r="F36" i="11" s="1"/>
  <c r="E37" i="11" s="1"/>
  <c r="E25" i="40"/>
  <c r="F25" i="40" s="1"/>
  <c r="E26" i="40" s="1"/>
  <c r="E37" i="10"/>
  <c r="F37" i="10" s="1"/>
  <c r="E38" i="10" s="1"/>
  <c r="E34" i="4"/>
  <c r="F34" i="4" s="1"/>
  <c r="E35" i="4" s="1"/>
  <c r="E32" i="23"/>
  <c r="F32" i="23" s="1"/>
  <c r="E33" i="23" s="1"/>
  <c r="E24" i="44"/>
  <c r="F24" i="44" s="1"/>
  <c r="E25" i="44" s="1"/>
  <c r="E26" i="38"/>
  <c r="F26" i="38" s="1"/>
  <c r="E27" i="38" s="1"/>
  <c r="E25" i="42"/>
  <c r="F25" i="42" s="1"/>
  <c r="E26" i="42" s="1"/>
  <c r="E33" i="22"/>
  <c r="F33" i="22" s="1"/>
  <c r="E34" i="22" s="1"/>
  <c r="E22" i="48"/>
  <c r="F22" i="48" s="1"/>
  <c r="E23" i="48" s="1"/>
  <c r="E19" i="54"/>
  <c r="F19" i="54" s="1"/>
  <c r="E26" i="37"/>
  <c r="F26" i="37" s="1"/>
  <c r="E37" i="7"/>
  <c r="F37" i="7" s="1"/>
  <c r="E34" i="3"/>
  <c r="F34" i="3" s="1"/>
  <c r="E35" i="3" s="1"/>
  <c r="E34" i="5"/>
  <c r="F34" i="5" s="1"/>
  <c r="E35" i="5" s="1"/>
  <c r="E19" i="27"/>
  <c r="D30" i="27" s="1"/>
  <c r="E19" i="57"/>
  <c r="F19" i="57" s="1"/>
  <c r="E20" i="57" s="1"/>
  <c r="H35" i="8" l="1"/>
  <c r="G35" i="8"/>
  <c r="N5" i="8" s="1"/>
  <c r="D36" i="8"/>
  <c r="E36" i="8"/>
  <c r="G34" i="5"/>
  <c r="N5" i="5" s="1"/>
  <c r="H34" i="5"/>
  <c r="D35" i="5"/>
  <c r="G22" i="48"/>
  <c r="N5" i="48" s="1"/>
  <c r="H22" i="48"/>
  <c r="D23" i="48"/>
  <c r="E30" i="27"/>
  <c r="F30" i="27" s="1"/>
  <c r="B30" i="27"/>
  <c r="H26" i="38"/>
  <c r="G26" i="38"/>
  <c r="N5" i="38" s="1"/>
  <c r="D27" i="38"/>
  <c r="H36" i="9"/>
  <c r="D37" i="9"/>
  <c r="G36" i="9"/>
  <c r="N5" i="9" s="1"/>
  <c r="E37" i="9"/>
  <c r="G19" i="54"/>
  <c r="N5" i="54" s="1"/>
  <c r="D20" i="54"/>
  <c r="H19" i="54"/>
  <c r="G25" i="42"/>
  <c r="N5" i="42" s="1"/>
  <c r="D26" i="42"/>
  <c r="H25" i="42"/>
  <c r="H26" i="37"/>
  <c r="D27" i="37"/>
  <c r="G26" i="37"/>
  <c r="N5" i="37" s="1"/>
  <c r="H19" i="57"/>
  <c r="D20" i="57"/>
  <c r="G19" i="57"/>
  <c r="N5" i="57" s="1"/>
  <c r="H37" i="7"/>
  <c r="D38" i="7"/>
  <c r="G37" i="7"/>
  <c r="N5" i="7" s="1"/>
  <c r="H33" i="22"/>
  <c r="G33" i="22"/>
  <c r="N5" i="22" s="1"/>
  <c r="D34" i="22"/>
  <c r="G34" i="3"/>
  <c r="N5" i="3" s="1"/>
  <c r="H34" i="3"/>
  <c r="D35" i="3"/>
  <c r="E38" i="7"/>
  <c r="E27" i="37"/>
  <c r="E20" i="54"/>
  <c r="G25" i="43"/>
  <c r="N5" i="43" s="1"/>
  <c r="H25" i="43"/>
  <c r="D26" i="43"/>
  <c r="E26" i="43"/>
  <c r="G34" i="4"/>
  <c r="N5" i="4" s="1"/>
  <c r="D35" i="4"/>
  <c r="H34" i="4"/>
  <c r="D38" i="10"/>
  <c r="G37" i="10"/>
  <c r="N5" i="10" s="1"/>
  <c r="H37" i="10"/>
  <c r="G35" i="6"/>
  <c r="N5" i="6" s="1"/>
  <c r="D36" i="6"/>
  <c r="H35" i="6"/>
  <c r="H25" i="41"/>
  <c r="D26" i="41"/>
  <c r="G25" i="41"/>
  <c r="N5" i="41" s="1"/>
  <c r="G21" i="47"/>
  <c r="N5" i="47" s="1"/>
  <c r="H21" i="47"/>
  <c r="D22" i="47"/>
  <c r="D25" i="45"/>
  <c r="F25" i="45" s="1"/>
  <c r="D26" i="45" s="1"/>
  <c r="G24" i="45"/>
  <c r="N5" i="45" s="1"/>
  <c r="H24" i="45"/>
  <c r="G21" i="49"/>
  <c r="N5" i="49" s="1"/>
  <c r="H21" i="49"/>
  <c r="D22" i="49"/>
  <c r="D29" i="30"/>
  <c r="H28" i="30"/>
  <c r="G28" i="30"/>
  <c r="N5" i="30" s="1"/>
  <c r="G29" i="28"/>
  <c r="N5" i="28" s="1"/>
  <c r="H29" i="28"/>
  <c r="D30" i="28"/>
  <c r="D30" i="29"/>
  <c r="G29" i="29"/>
  <c r="N5" i="29" s="1"/>
  <c r="H29" i="29"/>
  <c r="H25" i="40"/>
  <c r="G25" i="40"/>
  <c r="N5" i="40" s="1"/>
  <c r="D26" i="40"/>
  <c r="H36" i="11"/>
  <c r="D37" i="11"/>
  <c r="G36" i="11"/>
  <c r="N5" i="11" s="1"/>
  <c r="G19" i="55"/>
  <c r="N5" i="55" s="1"/>
  <c r="H19" i="55"/>
  <c r="D20" i="55"/>
  <c r="G23" i="46"/>
  <c r="N5" i="46" s="1"/>
  <c r="H23" i="46"/>
  <c r="D24" i="46"/>
  <c r="D19" i="13"/>
  <c r="F19" i="13" s="1"/>
  <c r="H18" i="13"/>
  <c r="G18" i="13"/>
  <c r="D25" i="44"/>
  <c r="H24" i="44"/>
  <c r="G24" i="44"/>
  <c r="N5" i="44" s="1"/>
  <c r="D33" i="23"/>
  <c r="G32" i="23"/>
  <c r="N5" i="23" s="1"/>
  <c r="H32" i="23"/>
  <c r="H26" i="39"/>
  <c r="G26" i="39"/>
  <c r="N5" i="39" s="1"/>
  <c r="D27" i="39"/>
  <c r="G29" i="31"/>
  <c r="N5" i="31" s="1"/>
  <c r="D30" i="31"/>
  <c r="H29" i="31"/>
  <c r="H30" i="24"/>
  <c r="D31" i="24"/>
  <c r="G30" i="24"/>
  <c r="N5" i="24" s="1"/>
  <c r="D18" i="59"/>
  <c r="H17" i="59"/>
  <c r="G17" i="59"/>
  <c r="E18" i="58"/>
  <c r="G17" i="58"/>
  <c r="H17" i="58"/>
  <c r="D18" i="58"/>
  <c r="G33" i="25"/>
  <c r="N5" i="25" s="1"/>
  <c r="D34" i="25"/>
  <c r="H33" i="25"/>
  <c r="E44" i="17"/>
  <c r="E23" i="17"/>
  <c r="E41" i="17"/>
  <c r="E52" i="17"/>
  <c r="E19" i="17"/>
  <c r="E29" i="17"/>
  <c r="E39" i="17"/>
  <c r="E37" i="17"/>
  <c r="E34" i="17"/>
  <c r="E27" i="17"/>
  <c r="E43" i="17"/>
  <c r="E49" i="17"/>
  <c r="E42" i="17"/>
  <c r="E22" i="17"/>
  <c r="E18" i="17"/>
  <c r="E25" i="17"/>
  <c r="E20" i="17"/>
  <c r="E47" i="17"/>
  <c r="E30" i="17"/>
  <c r="E48" i="17"/>
  <c r="E21" i="17"/>
  <c r="E28" i="17"/>
  <c r="E38" i="17"/>
  <c r="E36" i="17"/>
  <c r="E24" i="17"/>
  <c r="E45" i="17"/>
  <c r="E26" i="17"/>
  <c r="E40" i="17"/>
  <c r="E35" i="17"/>
  <c r="E46" i="17"/>
  <c r="E33" i="17"/>
  <c r="E50" i="17"/>
  <c r="E32" i="17"/>
  <c r="E26" i="45" l="1"/>
  <c r="F26" i="45" s="1"/>
  <c r="H26" i="45" s="1"/>
  <c r="B26" i="45"/>
  <c r="G30" i="27"/>
  <c r="N5" i="27" s="1"/>
  <c r="D31" i="27"/>
  <c r="H30" i="27"/>
  <c r="F33" i="23"/>
  <c r="B33" i="23"/>
  <c r="N6" i="49"/>
  <c r="N7" i="49" s="1"/>
  <c r="I21" i="49"/>
  <c r="B23" i="48"/>
  <c r="F23" i="48"/>
  <c r="G23" i="48" s="1"/>
  <c r="E20" i="55"/>
  <c r="F20" i="55" s="1"/>
  <c r="B20" i="55"/>
  <c r="N6" i="45"/>
  <c r="N7" i="45" s="1"/>
  <c r="I24" i="45"/>
  <c r="N6" i="41"/>
  <c r="N7" i="41" s="1"/>
  <c r="I25" i="41"/>
  <c r="F20" i="57"/>
  <c r="H20" i="57" s="1"/>
  <c r="B20" i="57"/>
  <c r="F20" i="54"/>
  <c r="B20" i="54"/>
  <c r="B27" i="38"/>
  <c r="F27" i="38"/>
  <c r="H27" i="38" s="1"/>
  <c r="I22" i="48"/>
  <c r="N6" i="48"/>
  <c r="N7" i="48" s="1"/>
  <c r="F26" i="41"/>
  <c r="B26" i="41"/>
  <c r="N6" i="25"/>
  <c r="N7" i="25" s="1"/>
  <c r="I33" i="25"/>
  <c r="F34" i="25"/>
  <c r="B34" i="25"/>
  <c r="B18" i="58"/>
  <c r="F18" i="58"/>
  <c r="N6" i="31"/>
  <c r="N7" i="31" s="1"/>
  <c r="I29" i="31"/>
  <c r="N6" i="44"/>
  <c r="N7" i="44" s="1"/>
  <c r="I24" i="44"/>
  <c r="I19" i="55"/>
  <c r="N6" i="55"/>
  <c r="N7" i="55" s="1"/>
  <c r="F37" i="11"/>
  <c r="B37" i="11"/>
  <c r="F38" i="10"/>
  <c r="B38" i="10"/>
  <c r="B26" i="43"/>
  <c r="F26" i="43"/>
  <c r="B38" i="7"/>
  <c r="F38" i="7"/>
  <c r="N6" i="57"/>
  <c r="N7" i="57" s="1"/>
  <c r="I19" i="57"/>
  <c r="F27" i="37"/>
  <c r="H27" i="37" s="1"/>
  <c r="B27" i="37"/>
  <c r="N6" i="42"/>
  <c r="N7" i="42" s="1"/>
  <c r="I25" i="42"/>
  <c r="N6" i="10"/>
  <c r="N7" i="10" s="1"/>
  <c r="I37" i="10"/>
  <c r="I19" i="54"/>
  <c r="N6" i="54"/>
  <c r="N7" i="54" s="1"/>
  <c r="D20" i="13"/>
  <c r="E20" i="13"/>
  <c r="I17" i="58"/>
  <c r="N6" i="58"/>
  <c r="F30" i="31"/>
  <c r="B30" i="31"/>
  <c r="B25" i="44"/>
  <c r="E24" i="46"/>
  <c r="F24" i="46" s="1"/>
  <c r="B24" i="46"/>
  <c r="N6" i="11"/>
  <c r="N7" i="11" s="1"/>
  <c r="I36" i="11"/>
  <c r="B25" i="45"/>
  <c r="H25" i="45"/>
  <c r="G25" i="45"/>
  <c r="I34" i="4"/>
  <c r="N6" i="4"/>
  <c r="N6" i="43"/>
  <c r="N7" i="43" s="1"/>
  <c r="I25" i="43"/>
  <c r="F35" i="3"/>
  <c r="B35" i="3"/>
  <c r="B34" i="22"/>
  <c r="F34" i="22"/>
  <c r="N6" i="7"/>
  <c r="N7" i="7" s="1"/>
  <c r="I37" i="7"/>
  <c r="N6" i="37"/>
  <c r="N7" i="37" s="1"/>
  <c r="I26" i="37"/>
  <c r="B26" i="42"/>
  <c r="F26" i="42"/>
  <c r="F37" i="9"/>
  <c r="B37" i="9"/>
  <c r="N6" i="38"/>
  <c r="N7" i="38" s="1"/>
  <c r="I26" i="38"/>
  <c r="F36" i="8"/>
  <c r="B36" i="8"/>
  <c r="I23" i="46"/>
  <c r="N6" i="46"/>
  <c r="N7" i="46" s="1"/>
  <c r="F26" i="40"/>
  <c r="G26" i="40" s="1"/>
  <c r="B26" i="40"/>
  <c r="E22" i="47"/>
  <c r="F22" i="47" s="1"/>
  <c r="B22" i="47"/>
  <c r="B35" i="4"/>
  <c r="F35" i="4"/>
  <c r="N6" i="3"/>
  <c r="I34" i="3"/>
  <c r="N6" i="9"/>
  <c r="N7" i="9" s="1"/>
  <c r="I36" i="9"/>
  <c r="F35" i="5"/>
  <c r="B35" i="5"/>
  <c r="B27" i="39"/>
  <c r="F27" i="39"/>
  <c r="G27" i="39" s="1"/>
  <c r="N6" i="29"/>
  <c r="N7" i="29" s="1"/>
  <c r="I29" i="29"/>
  <c r="N6" i="30"/>
  <c r="N7" i="30" s="1"/>
  <c r="I28" i="30"/>
  <c r="I21" i="47"/>
  <c r="N6" i="47"/>
  <c r="N7" i="47" s="1"/>
  <c r="N6" i="6"/>
  <c r="N7" i="6" s="1"/>
  <c r="I35" i="6"/>
  <c r="N6" i="22"/>
  <c r="N7" i="22" s="1"/>
  <c r="I33" i="22"/>
  <c r="F25" i="44"/>
  <c r="N6" i="5"/>
  <c r="N7" i="5" s="1"/>
  <c r="I34" i="5"/>
  <c r="N6" i="8"/>
  <c r="N7" i="8" s="1"/>
  <c r="I35" i="8"/>
  <c r="F31" i="24"/>
  <c r="B31" i="24"/>
  <c r="I18" i="13"/>
  <c r="N6" i="24"/>
  <c r="N7" i="24" s="1"/>
  <c r="I30" i="24"/>
  <c r="N6" i="23"/>
  <c r="N7" i="23" s="1"/>
  <c r="I32" i="23"/>
  <c r="B19" i="13"/>
  <c r="G19" i="13"/>
  <c r="H19" i="13"/>
  <c r="N6" i="40"/>
  <c r="N7" i="40" s="1"/>
  <c r="I25" i="40"/>
  <c r="F30" i="28"/>
  <c r="B30" i="28"/>
  <c r="F29" i="30"/>
  <c r="B29" i="30"/>
  <c r="B36" i="6"/>
  <c r="F36" i="6"/>
  <c r="I17" i="59"/>
  <c r="N6" i="59"/>
  <c r="B18" i="59"/>
  <c r="F18" i="59"/>
  <c r="G18" i="59" s="1"/>
  <c r="I26" i="39"/>
  <c r="N6" i="39"/>
  <c r="N7" i="39" s="1"/>
  <c r="F30" i="29"/>
  <c r="B30" i="29"/>
  <c r="N6" i="28"/>
  <c r="N7" i="28" s="1"/>
  <c r="I29" i="28"/>
  <c r="F22" i="49"/>
  <c r="H22" i="49" s="1"/>
  <c r="B22" i="49"/>
  <c r="F21" i="17"/>
  <c r="F25" i="17"/>
  <c r="F24" i="17"/>
  <c r="F52" i="17"/>
  <c r="F38" i="17"/>
  <c r="F36" i="17"/>
  <c r="F29" i="17"/>
  <c r="F26" i="17"/>
  <c r="F40" i="17"/>
  <c r="F32" i="17"/>
  <c r="F30" i="17"/>
  <c r="F28" i="17"/>
  <c r="F45" i="17"/>
  <c r="F41" i="17"/>
  <c r="F44" i="17"/>
  <c r="F39" i="17"/>
  <c r="F48" i="17"/>
  <c r="F43" i="17"/>
  <c r="F46" i="17"/>
  <c r="F35" i="17"/>
  <c r="F34" i="17"/>
  <c r="F50" i="17"/>
  <c r="F20" i="17"/>
  <c r="F23" i="17"/>
  <c r="F33" i="17"/>
  <c r="F37" i="17"/>
  <c r="F47" i="17"/>
  <c r="F42" i="17"/>
  <c r="F49" i="17"/>
  <c r="F22" i="17"/>
  <c r="E31" i="17"/>
  <c r="F27" i="17"/>
  <c r="G27" i="37" l="1"/>
  <c r="G20" i="57"/>
  <c r="F20" i="13"/>
  <c r="I25" i="45"/>
  <c r="N7" i="3"/>
  <c r="I27" i="37"/>
  <c r="G46" i="17"/>
  <c r="T46" i="17" s="1"/>
  <c r="G27" i="17"/>
  <c r="T27" i="17" s="1"/>
  <c r="G45" i="17"/>
  <c r="T45" i="17" s="1"/>
  <c r="G47" i="17"/>
  <c r="T47" i="17" s="1"/>
  <c r="G28" i="17"/>
  <c r="T28" i="17" s="1"/>
  <c r="G40" i="17"/>
  <c r="T40" i="17" s="1"/>
  <c r="G32" i="17"/>
  <c r="T32" i="17" s="1"/>
  <c r="G23" i="17"/>
  <c r="T23" i="17" s="1"/>
  <c r="G33" i="17"/>
  <c r="T33" i="17" s="1"/>
  <c r="G42" i="17"/>
  <c r="T42" i="17" s="1"/>
  <c r="G49" i="17"/>
  <c r="T49" i="17" s="1"/>
  <c r="G35" i="17"/>
  <c r="T35" i="17" s="1"/>
  <c r="G37" i="17"/>
  <c r="T37" i="17" s="1"/>
  <c r="G22" i="17"/>
  <c r="T22" i="17" s="1"/>
  <c r="G52" i="17"/>
  <c r="T52" i="17" s="1"/>
  <c r="G50" i="17"/>
  <c r="T50" i="17" s="1"/>
  <c r="G29" i="17"/>
  <c r="T29" i="17" s="1"/>
  <c r="G20" i="17"/>
  <c r="T20" i="17" s="1"/>
  <c r="G34" i="17"/>
  <c r="T34" i="17" s="1"/>
  <c r="G36" i="17"/>
  <c r="T36" i="17" s="1"/>
  <c r="G41" i="17"/>
  <c r="T41" i="17" s="1"/>
  <c r="G43" i="17"/>
  <c r="T43" i="17" s="1"/>
  <c r="G44" i="17"/>
  <c r="T44" i="17" s="1"/>
  <c r="G48" i="17"/>
  <c r="T48" i="17" s="1"/>
  <c r="G38" i="17"/>
  <c r="T38" i="17" s="1"/>
  <c r="G39" i="17"/>
  <c r="T39" i="17" s="1"/>
  <c r="G21" i="17"/>
  <c r="T21" i="17" s="1"/>
  <c r="G24" i="17"/>
  <c r="T24" i="17" s="1"/>
  <c r="G26" i="17"/>
  <c r="T26" i="17" s="1"/>
  <c r="G25" i="17"/>
  <c r="T25" i="17" s="1"/>
  <c r="G30" i="17"/>
  <c r="T30" i="17" s="1"/>
  <c r="G24" i="46"/>
  <c r="D25" i="46"/>
  <c r="H24" i="46"/>
  <c r="H18" i="58"/>
  <c r="D19" i="58"/>
  <c r="E19" i="58"/>
  <c r="H26" i="41"/>
  <c r="D27" i="41"/>
  <c r="E27" i="41"/>
  <c r="D21" i="55"/>
  <c r="E21" i="55" s="1"/>
  <c r="F21" i="55" s="1"/>
  <c r="D31" i="28"/>
  <c r="G30" i="28"/>
  <c r="H30" i="28"/>
  <c r="E31" i="28"/>
  <c r="H31" i="24"/>
  <c r="D32" i="24"/>
  <c r="G31" i="24"/>
  <c r="E32" i="24"/>
  <c r="D26" i="44"/>
  <c r="E26" i="44"/>
  <c r="B20" i="13"/>
  <c r="G20" i="13"/>
  <c r="H20" i="13"/>
  <c r="D28" i="37"/>
  <c r="E28" i="37"/>
  <c r="D21" i="57"/>
  <c r="E21" i="57"/>
  <c r="G26" i="45"/>
  <c r="I26" i="45" s="1"/>
  <c r="H26" i="42"/>
  <c r="D27" i="42"/>
  <c r="E27" i="42"/>
  <c r="G35" i="3"/>
  <c r="D36" i="3"/>
  <c r="H35" i="3"/>
  <c r="E36" i="3"/>
  <c r="D21" i="13"/>
  <c r="E21" i="13"/>
  <c r="G20" i="54"/>
  <c r="D21" i="54"/>
  <c r="E21" i="54"/>
  <c r="H30" i="29"/>
  <c r="G30" i="29"/>
  <c r="D31" i="29"/>
  <c r="E31" i="29"/>
  <c r="H27" i="39"/>
  <c r="I27" i="39" s="1"/>
  <c r="D28" i="39"/>
  <c r="E28" i="39"/>
  <c r="H35" i="4"/>
  <c r="G35" i="4"/>
  <c r="D36" i="4"/>
  <c r="E36" i="4"/>
  <c r="G37" i="11"/>
  <c r="D38" i="11"/>
  <c r="H37" i="11"/>
  <c r="E38" i="11"/>
  <c r="G22" i="47"/>
  <c r="D23" i="47"/>
  <c r="H26" i="43"/>
  <c r="D27" i="43"/>
  <c r="E27" i="43"/>
  <c r="H18" i="59"/>
  <c r="I18" i="59" s="1"/>
  <c r="D19" i="59"/>
  <c r="E19" i="59"/>
  <c r="H36" i="6"/>
  <c r="G36" i="6"/>
  <c r="D37" i="6"/>
  <c r="E37" i="6"/>
  <c r="G25" i="44"/>
  <c r="G38" i="10"/>
  <c r="H38" i="10"/>
  <c r="D39" i="10"/>
  <c r="E39" i="10"/>
  <c r="G34" i="25"/>
  <c r="D35" i="25"/>
  <c r="H34" i="25"/>
  <c r="E35" i="25"/>
  <c r="D27" i="45"/>
  <c r="E27" i="45"/>
  <c r="N7" i="4"/>
  <c r="H25" i="44"/>
  <c r="G27" i="38"/>
  <c r="I27" i="38" s="1"/>
  <c r="D28" i="38"/>
  <c r="E28" i="38"/>
  <c r="G22" i="49"/>
  <c r="I22" i="49" s="1"/>
  <c r="D23" i="49"/>
  <c r="E23" i="49"/>
  <c r="I19" i="13"/>
  <c r="G36" i="8"/>
  <c r="D37" i="8"/>
  <c r="H36" i="8"/>
  <c r="E37" i="8"/>
  <c r="H34" i="22"/>
  <c r="D35" i="22"/>
  <c r="G34" i="22"/>
  <c r="E35" i="22"/>
  <c r="G38" i="7"/>
  <c r="H38" i="7"/>
  <c r="D39" i="7"/>
  <c r="E39" i="7"/>
  <c r="H23" i="48"/>
  <c r="I23" i="48" s="1"/>
  <c r="D24" i="48"/>
  <c r="N6" i="27"/>
  <c r="N7" i="27" s="1"/>
  <c r="I30" i="27"/>
  <c r="G35" i="5"/>
  <c r="D36" i="5"/>
  <c r="H35" i="5"/>
  <c r="E36" i="5"/>
  <c r="H26" i="40"/>
  <c r="I26" i="40" s="1"/>
  <c r="D27" i="40"/>
  <c r="E27" i="40"/>
  <c r="H37" i="9"/>
  <c r="D38" i="9"/>
  <c r="G37" i="9"/>
  <c r="E38" i="9"/>
  <c r="G26" i="41"/>
  <c r="I26" i="41" s="1"/>
  <c r="H20" i="54"/>
  <c r="G20" i="55"/>
  <c r="E31" i="27"/>
  <c r="F31" i="27" s="1"/>
  <c r="B31" i="27"/>
  <c r="G29" i="30"/>
  <c r="H29" i="30"/>
  <c r="D30" i="30"/>
  <c r="E30" i="30"/>
  <c r="H22" i="47"/>
  <c r="G26" i="42"/>
  <c r="H30" i="31"/>
  <c r="G30" i="31"/>
  <c r="D31" i="31"/>
  <c r="E31" i="31"/>
  <c r="G26" i="43"/>
  <c r="G18" i="58"/>
  <c r="I20" i="57"/>
  <c r="H20" i="55"/>
  <c r="G33" i="23"/>
  <c r="H33" i="23"/>
  <c r="D34" i="23"/>
  <c r="E34" i="23"/>
  <c r="F18" i="17"/>
  <c r="F19" i="17"/>
  <c r="F31" i="17"/>
  <c r="I18" i="58" l="1"/>
  <c r="I35" i="5"/>
  <c r="I25" i="44"/>
  <c r="I20" i="55"/>
  <c r="G18" i="17"/>
  <c r="T18" i="17" s="1"/>
  <c r="I26" i="42"/>
  <c r="I24" i="46"/>
  <c r="G31" i="17"/>
  <c r="T31" i="17" s="1"/>
  <c r="G19" i="17"/>
  <c r="T19" i="17" s="1"/>
  <c r="D22" i="55"/>
  <c r="E22" i="55" s="1"/>
  <c r="F22" i="55" s="1"/>
  <c r="D23" i="55" s="1"/>
  <c r="I38" i="10"/>
  <c r="I31" i="24"/>
  <c r="B37" i="6"/>
  <c r="F37" i="6"/>
  <c r="I36" i="8"/>
  <c r="E23" i="47"/>
  <c r="F23" i="47" s="1"/>
  <c r="B23" i="47"/>
  <c r="B28" i="39"/>
  <c r="F28" i="39"/>
  <c r="G28" i="39" s="1"/>
  <c r="F21" i="13"/>
  <c r="H21" i="13" s="1"/>
  <c r="B27" i="42"/>
  <c r="F27" i="42"/>
  <c r="G27" i="42" s="1"/>
  <c r="F19" i="59"/>
  <c r="H19" i="59" s="1"/>
  <c r="B19" i="59"/>
  <c r="F34" i="23"/>
  <c r="B34" i="23"/>
  <c r="I38" i="7"/>
  <c r="I33" i="23"/>
  <c r="D32" i="27"/>
  <c r="H31" i="27"/>
  <c r="G31" i="27"/>
  <c r="E32" i="27"/>
  <c r="F31" i="31"/>
  <c r="B31" i="31"/>
  <c r="F37" i="8"/>
  <c r="B37" i="8"/>
  <c r="F39" i="10"/>
  <c r="B39" i="10"/>
  <c r="I30" i="29"/>
  <c r="B21" i="13"/>
  <c r="I20" i="13"/>
  <c r="F32" i="24"/>
  <c r="B32" i="24"/>
  <c r="F31" i="28"/>
  <c r="B31" i="28"/>
  <c r="F27" i="41"/>
  <c r="H27" i="41" s="1"/>
  <c r="B27" i="41"/>
  <c r="B21" i="55"/>
  <c r="G21" i="55"/>
  <c r="H21" i="55"/>
  <c r="I30" i="31"/>
  <c r="I22" i="47"/>
  <c r="B38" i="9"/>
  <c r="F38" i="9"/>
  <c r="I35" i="3"/>
  <c r="B30" i="30"/>
  <c r="F30" i="30"/>
  <c r="I37" i="9"/>
  <c r="F36" i="5"/>
  <c r="B36" i="5"/>
  <c r="B35" i="22"/>
  <c r="F35" i="22"/>
  <c r="I34" i="25"/>
  <c r="I36" i="6"/>
  <c r="F36" i="3"/>
  <c r="B36" i="3"/>
  <c r="F26" i="44"/>
  <c r="G26" i="44" s="1"/>
  <c r="E25" i="46"/>
  <c r="F25" i="46" s="1"/>
  <c r="H25" i="46" s="1"/>
  <c r="B25" i="46"/>
  <c r="B39" i="7"/>
  <c r="F39" i="7"/>
  <c r="B27" i="43"/>
  <c r="F27" i="43"/>
  <c r="G27" i="43" s="1"/>
  <c r="I29" i="30"/>
  <c r="I34" i="22"/>
  <c r="B23" i="49"/>
  <c r="F23" i="49"/>
  <c r="H23" i="49" s="1"/>
  <c r="F27" i="45"/>
  <c r="D28" i="45" s="1"/>
  <c r="F35" i="25"/>
  <c r="B35" i="25"/>
  <c r="I37" i="11"/>
  <c r="I35" i="4"/>
  <c r="B21" i="54"/>
  <c r="F21" i="54"/>
  <c r="G21" i="54" s="1"/>
  <c r="F21" i="57"/>
  <c r="H21" i="57" s="1"/>
  <c r="B26" i="44"/>
  <c r="E24" i="48"/>
  <c r="F24" i="48" s="1"/>
  <c r="B24" i="48"/>
  <c r="I20" i="54"/>
  <c r="B36" i="4"/>
  <c r="F36" i="4"/>
  <c r="B28" i="37"/>
  <c r="F28" i="37"/>
  <c r="H28" i="37" s="1"/>
  <c r="I26" i="43"/>
  <c r="B27" i="40"/>
  <c r="F27" i="40"/>
  <c r="H27" i="40" s="1"/>
  <c r="F28" i="38"/>
  <c r="H28" i="38" s="1"/>
  <c r="B28" i="38"/>
  <c r="B27" i="45"/>
  <c r="F38" i="11"/>
  <c r="B38" i="11"/>
  <c r="F31" i="29"/>
  <c r="B31" i="29"/>
  <c r="B21" i="57"/>
  <c r="I30" i="28"/>
  <c r="B19" i="58"/>
  <c r="F19" i="58"/>
  <c r="H28" i="39" l="1"/>
  <c r="H21" i="54"/>
  <c r="I21" i="54" s="1"/>
  <c r="H26" i="44"/>
  <c r="G28" i="37"/>
  <c r="I28" i="37" s="1"/>
  <c r="I28" i="39"/>
  <c r="G23" i="47"/>
  <c r="D24" i="47"/>
  <c r="H23" i="47"/>
  <c r="H27" i="43"/>
  <c r="I27" i="43" s="1"/>
  <c r="D28" i="43"/>
  <c r="E28" i="43"/>
  <c r="G31" i="29"/>
  <c r="H31" i="29"/>
  <c r="D32" i="29"/>
  <c r="E32" i="29"/>
  <c r="D37" i="4"/>
  <c r="H36" i="4"/>
  <c r="G36" i="4"/>
  <c r="E37" i="4"/>
  <c r="G24" i="48"/>
  <c r="D25" i="48"/>
  <c r="D33" i="24"/>
  <c r="H32" i="24"/>
  <c r="G32" i="24"/>
  <c r="E33" i="24"/>
  <c r="I31" i="27"/>
  <c r="G19" i="58"/>
  <c r="D20" i="58"/>
  <c r="E20" i="58"/>
  <c r="H19" i="58"/>
  <c r="D37" i="3"/>
  <c r="H36" i="3"/>
  <c r="G36" i="3"/>
  <c r="E37" i="3"/>
  <c r="D36" i="22"/>
  <c r="G35" i="22"/>
  <c r="H35" i="22"/>
  <c r="E36" i="22"/>
  <c r="D40" i="10"/>
  <c r="G39" i="10"/>
  <c r="H39" i="10"/>
  <c r="E40" i="10"/>
  <c r="F32" i="27"/>
  <c r="B32" i="27"/>
  <c r="G21" i="13"/>
  <c r="I21" i="13" s="1"/>
  <c r="D22" i="13"/>
  <c r="E22" i="13"/>
  <c r="I26" i="44"/>
  <c r="D38" i="6"/>
  <c r="H37" i="6"/>
  <c r="G37" i="6"/>
  <c r="E38" i="6"/>
  <c r="E23" i="55"/>
  <c r="F23" i="55" s="1"/>
  <c r="B23" i="55"/>
  <c r="G21" i="57"/>
  <c r="I21" i="57" s="1"/>
  <c r="D22" i="57"/>
  <c r="E22" i="57"/>
  <c r="H35" i="25"/>
  <c r="G35" i="25"/>
  <c r="D36" i="25"/>
  <c r="E36" i="25"/>
  <c r="I21" i="55"/>
  <c r="D29" i="39"/>
  <c r="E29" i="39"/>
  <c r="B22" i="55"/>
  <c r="H22" i="55"/>
  <c r="G22" i="55"/>
  <c r="G34" i="23"/>
  <c r="H34" i="23"/>
  <c r="D35" i="23"/>
  <c r="E35" i="23"/>
  <c r="G38" i="11"/>
  <c r="D39" i="11"/>
  <c r="H38" i="11"/>
  <c r="E39" i="11"/>
  <c r="D29" i="37"/>
  <c r="E29" i="37"/>
  <c r="H39" i="7"/>
  <c r="D40" i="7"/>
  <c r="G39" i="7"/>
  <c r="E40" i="7"/>
  <c r="G25" i="46"/>
  <c r="I25" i="46" s="1"/>
  <c r="D26" i="46"/>
  <c r="E26" i="46"/>
  <c r="H36" i="5"/>
  <c r="G36" i="5"/>
  <c r="D37" i="5"/>
  <c r="E37" i="5"/>
  <c r="E28" i="45"/>
  <c r="F28" i="45" s="1"/>
  <c r="B28" i="45"/>
  <c r="G27" i="40"/>
  <c r="I27" i="40" s="1"/>
  <c r="D28" i="40"/>
  <c r="E28" i="40"/>
  <c r="D27" i="44"/>
  <c r="E27" i="44"/>
  <c r="G31" i="28"/>
  <c r="D32" i="28"/>
  <c r="H31" i="28"/>
  <c r="E32" i="28"/>
  <c r="G37" i="8"/>
  <c r="H37" i="8"/>
  <c r="D38" i="8"/>
  <c r="E38" i="8"/>
  <c r="G28" i="38"/>
  <c r="I28" i="38" s="1"/>
  <c r="D29" i="38"/>
  <c r="E29" i="38"/>
  <c r="G38" i="9"/>
  <c r="H38" i="9"/>
  <c r="D39" i="9"/>
  <c r="E39" i="9"/>
  <c r="G27" i="41"/>
  <c r="I27" i="41" s="1"/>
  <c r="D28" i="41"/>
  <c r="E28" i="41"/>
  <c r="G27" i="45"/>
  <c r="H24" i="48"/>
  <c r="H27" i="45"/>
  <c r="D22" i="54"/>
  <c r="E22" i="54"/>
  <c r="G23" i="49"/>
  <c r="I23" i="49" s="1"/>
  <c r="D24" i="49"/>
  <c r="E24" i="49"/>
  <c r="D31" i="30"/>
  <c r="H30" i="30"/>
  <c r="G30" i="30"/>
  <c r="E31" i="30"/>
  <c r="G31" i="31"/>
  <c r="H31" i="31"/>
  <c r="D32" i="31"/>
  <c r="E32" i="31"/>
  <c r="G19" i="59"/>
  <c r="I19" i="59" s="1"/>
  <c r="D20" i="59"/>
  <c r="E20" i="59"/>
  <c r="H27" i="42"/>
  <c r="I27" i="42" s="1"/>
  <c r="D28" i="42"/>
  <c r="E28" i="42"/>
  <c r="F22" i="13" l="1"/>
  <c r="E23" i="13" s="1"/>
  <c r="I36" i="5"/>
  <c r="G23" i="55"/>
  <c r="D24" i="55"/>
  <c r="H23" i="55"/>
  <c r="H28" i="45"/>
  <c r="D29" i="45"/>
  <c r="G28" i="45"/>
  <c r="B37" i="5"/>
  <c r="F37" i="5"/>
  <c r="F33" i="24"/>
  <c r="B33" i="24"/>
  <c r="F31" i="30"/>
  <c r="B31" i="30"/>
  <c r="F22" i="54"/>
  <c r="G22" i="54" s="1"/>
  <c r="F39" i="9"/>
  <c r="B39" i="9"/>
  <c r="B40" i="7"/>
  <c r="F40" i="7"/>
  <c r="I22" i="55"/>
  <c r="I36" i="4"/>
  <c r="I30" i="30"/>
  <c r="I24" i="48"/>
  <c r="B27" i="44"/>
  <c r="B36" i="25"/>
  <c r="F36" i="25"/>
  <c r="F37" i="3"/>
  <c r="B37" i="3"/>
  <c r="B20" i="58"/>
  <c r="F20" i="58"/>
  <c r="H20" i="58" s="1"/>
  <c r="F28" i="43"/>
  <c r="G28" i="43" s="1"/>
  <c r="B28" i="43"/>
  <c r="B20" i="59"/>
  <c r="F20" i="59"/>
  <c r="G20" i="59" s="1"/>
  <c r="B22" i="54"/>
  <c r="I38" i="9"/>
  <c r="I39" i="7"/>
  <c r="B35" i="23"/>
  <c r="F35" i="23"/>
  <c r="I35" i="25"/>
  <c r="I37" i="6"/>
  <c r="I35" i="22"/>
  <c r="F37" i="4"/>
  <c r="B37" i="4"/>
  <c r="F26" i="46"/>
  <c r="H26" i="46" s="1"/>
  <c r="I34" i="23"/>
  <c r="B38" i="6"/>
  <c r="F38" i="6"/>
  <c r="D23" i="13"/>
  <c r="I39" i="10"/>
  <c r="I27" i="45"/>
  <c r="B26" i="46"/>
  <c r="B29" i="37"/>
  <c r="F29" i="37"/>
  <c r="G29" i="37" s="1"/>
  <c r="F22" i="57"/>
  <c r="H22" i="57" s="1"/>
  <c r="B22" i="57"/>
  <c r="B22" i="13"/>
  <c r="B36" i="22"/>
  <c r="F36" i="22"/>
  <c r="I19" i="58"/>
  <c r="I31" i="28"/>
  <c r="B40" i="10"/>
  <c r="F40" i="10"/>
  <c r="E25" i="48"/>
  <c r="F25" i="48" s="1"/>
  <c r="G25" i="48" s="1"/>
  <c r="B25" i="48"/>
  <c r="I23" i="47"/>
  <c r="F32" i="31"/>
  <c r="B32" i="31"/>
  <c r="F29" i="38"/>
  <c r="H29" i="38" s="1"/>
  <c r="B29" i="38"/>
  <c r="I31" i="31"/>
  <c r="F28" i="41"/>
  <c r="B28" i="41"/>
  <c r="B38" i="8"/>
  <c r="F38" i="8"/>
  <c r="F32" i="28"/>
  <c r="B32" i="28"/>
  <c r="I38" i="11"/>
  <c r="B32" i="29"/>
  <c r="F32" i="29"/>
  <c r="E24" i="47"/>
  <c r="F24" i="47" s="1"/>
  <c r="B24" i="47"/>
  <c r="B28" i="42"/>
  <c r="F28" i="42"/>
  <c r="H28" i="42" s="1"/>
  <c r="B24" i="49"/>
  <c r="F24" i="49"/>
  <c r="G24" i="49" s="1"/>
  <c r="I37" i="8"/>
  <c r="F27" i="44"/>
  <c r="G27" i="44" s="1"/>
  <c r="F28" i="40"/>
  <c r="G28" i="40" s="1"/>
  <c r="B28" i="40"/>
  <c r="B39" i="11"/>
  <c r="F39" i="11"/>
  <c r="B29" i="39"/>
  <c r="F29" i="39"/>
  <c r="H29" i="39" s="1"/>
  <c r="D33" i="27"/>
  <c r="G32" i="27"/>
  <c r="H32" i="27"/>
  <c r="I36" i="3"/>
  <c r="I32" i="24"/>
  <c r="I31" i="29"/>
  <c r="I23" i="55" l="1"/>
  <c r="H22" i="13"/>
  <c r="G22" i="13"/>
  <c r="G26" i="46"/>
  <c r="H22" i="54"/>
  <c r="I26" i="46"/>
  <c r="F23" i="13"/>
  <c r="H23" i="13" s="1"/>
  <c r="D25" i="47"/>
  <c r="H24" i="47"/>
  <c r="G24" i="47"/>
  <c r="I32" i="27"/>
  <c r="H39" i="11"/>
  <c r="D40" i="11"/>
  <c r="G39" i="11"/>
  <c r="E40" i="11"/>
  <c r="D39" i="8"/>
  <c r="H38" i="8"/>
  <c r="G38" i="8"/>
  <c r="E39" i="8"/>
  <c r="H28" i="43"/>
  <c r="I28" i="43" s="1"/>
  <c r="D29" i="43"/>
  <c r="E29" i="43"/>
  <c r="H37" i="3"/>
  <c r="D38" i="3"/>
  <c r="G37" i="3"/>
  <c r="E38" i="3"/>
  <c r="H40" i="7"/>
  <c r="G40" i="7"/>
  <c r="D41" i="7"/>
  <c r="E41" i="7"/>
  <c r="D40" i="9"/>
  <c r="H39" i="9"/>
  <c r="G39" i="9"/>
  <c r="E40" i="9"/>
  <c r="G29" i="39"/>
  <c r="I29" i="39" s="1"/>
  <c r="D30" i="39"/>
  <c r="E30" i="39"/>
  <c r="E33" i="27"/>
  <c r="F33" i="27" s="1"/>
  <c r="B33" i="27"/>
  <c r="H32" i="28"/>
  <c r="D33" i="28"/>
  <c r="G32" i="28"/>
  <c r="E33" i="28"/>
  <c r="D41" i="10"/>
  <c r="H40" i="10"/>
  <c r="G40" i="10"/>
  <c r="E41" i="10"/>
  <c r="H28" i="40"/>
  <c r="I28" i="40" s="1"/>
  <c r="D29" i="40"/>
  <c r="E29" i="40"/>
  <c r="G22" i="57"/>
  <c r="I22" i="57" s="1"/>
  <c r="H29" i="37"/>
  <c r="D30" i="37"/>
  <c r="E30" i="37"/>
  <c r="D39" i="6"/>
  <c r="H38" i="6"/>
  <c r="G38" i="6"/>
  <c r="E39" i="6"/>
  <c r="G20" i="58"/>
  <c r="I20" i="58" s="1"/>
  <c r="D21" i="58"/>
  <c r="E21" i="58"/>
  <c r="D23" i="54"/>
  <c r="E23" i="54"/>
  <c r="E24" i="55"/>
  <c r="F24" i="55" s="1"/>
  <c r="B24" i="55"/>
  <c r="G28" i="41"/>
  <c r="D29" i="41"/>
  <c r="E29" i="41"/>
  <c r="H24" i="49"/>
  <c r="I24" i="49" s="1"/>
  <c r="D25" i="49"/>
  <c r="E25" i="49"/>
  <c r="D28" i="44"/>
  <c r="E28" i="44"/>
  <c r="H28" i="41"/>
  <c r="G29" i="38"/>
  <c r="I29" i="38" s="1"/>
  <c r="D33" i="31"/>
  <c r="G32" i="31"/>
  <c r="H32" i="31"/>
  <c r="E33" i="31"/>
  <c r="D37" i="22"/>
  <c r="G36" i="22"/>
  <c r="H36" i="22"/>
  <c r="E37" i="22"/>
  <c r="H36" i="25"/>
  <c r="D37" i="25"/>
  <c r="G36" i="25"/>
  <c r="E37" i="25"/>
  <c r="G28" i="42"/>
  <c r="I28" i="42" s="1"/>
  <c r="D29" i="42"/>
  <c r="E29" i="42"/>
  <c r="D27" i="46"/>
  <c r="E27" i="46"/>
  <c r="H20" i="59"/>
  <c r="I20" i="59" s="1"/>
  <c r="D21" i="59"/>
  <c r="E21" i="59"/>
  <c r="H31" i="30"/>
  <c r="D32" i="30"/>
  <c r="G31" i="30"/>
  <c r="E32" i="30"/>
  <c r="G33" i="24"/>
  <c r="D34" i="24"/>
  <c r="H33" i="24"/>
  <c r="E34" i="24"/>
  <c r="D38" i="5"/>
  <c r="H37" i="5"/>
  <c r="G37" i="5"/>
  <c r="E38" i="5"/>
  <c r="H25" i="48"/>
  <c r="I25" i="48" s="1"/>
  <c r="D26" i="48"/>
  <c r="I22" i="13"/>
  <c r="D23" i="57"/>
  <c r="E23" i="57"/>
  <c r="D36" i="23"/>
  <c r="H35" i="23"/>
  <c r="G35" i="23"/>
  <c r="E36" i="23"/>
  <c r="H27" i="44"/>
  <c r="I27" i="44" s="1"/>
  <c r="I28" i="45"/>
  <c r="G32" i="29"/>
  <c r="H32" i="29"/>
  <c r="D33" i="29"/>
  <c r="E33" i="29"/>
  <c r="D30" i="38"/>
  <c r="E30" i="38"/>
  <c r="B23" i="13"/>
  <c r="D38" i="4"/>
  <c r="H37" i="4"/>
  <c r="G37" i="4"/>
  <c r="E38" i="4"/>
  <c r="I22" i="54"/>
  <c r="E29" i="45"/>
  <c r="F29" i="45" s="1"/>
  <c r="B29" i="45"/>
  <c r="E24" i="13" l="1"/>
  <c r="I28" i="41"/>
  <c r="D24" i="13"/>
  <c r="G23" i="13"/>
  <c r="D30" i="45"/>
  <c r="G29" i="45"/>
  <c r="I23" i="13"/>
  <c r="D25" i="55"/>
  <c r="E25" i="55" s="1"/>
  <c r="F25" i="55" s="1"/>
  <c r="D26" i="55" s="1"/>
  <c r="F41" i="10"/>
  <c r="B41" i="10"/>
  <c r="G33" i="27"/>
  <c r="H33" i="27"/>
  <c r="D34" i="27"/>
  <c r="E25" i="47"/>
  <c r="F25" i="47" s="1"/>
  <c r="B25" i="47"/>
  <c r="H29" i="45"/>
  <c r="F30" i="38"/>
  <c r="G30" i="38" s="1"/>
  <c r="B30" i="38"/>
  <c r="F21" i="59"/>
  <c r="B21" i="59"/>
  <c r="I32" i="31"/>
  <c r="F21" i="58"/>
  <c r="H21" i="58" s="1"/>
  <c r="F41" i="7"/>
  <c r="B41" i="7"/>
  <c r="B21" i="58"/>
  <c r="B23" i="57"/>
  <c r="B30" i="37"/>
  <c r="F30" i="37"/>
  <c r="G30" i="37" s="1"/>
  <c r="B38" i="3"/>
  <c r="F38" i="3"/>
  <c r="I37" i="4"/>
  <c r="F33" i="29"/>
  <c r="B33" i="29"/>
  <c r="E26" i="48"/>
  <c r="F26" i="48" s="1"/>
  <c r="B26" i="48"/>
  <c r="I37" i="5"/>
  <c r="B32" i="30"/>
  <c r="F32" i="30"/>
  <c r="F29" i="42"/>
  <c r="H29" i="42" s="1"/>
  <c r="B29" i="42"/>
  <c r="F33" i="31"/>
  <c r="B33" i="31"/>
  <c r="I40" i="7"/>
  <c r="I37" i="3"/>
  <c r="B23" i="54"/>
  <c r="F23" i="54"/>
  <c r="H23" i="54" s="1"/>
  <c r="E30" i="45"/>
  <c r="F30" i="45" s="1"/>
  <c r="B30" i="45"/>
  <c r="F29" i="40"/>
  <c r="G29" i="40" s="1"/>
  <c r="B29" i="40"/>
  <c r="I32" i="29"/>
  <c r="I35" i="23"/>
  <c r="B38" i="5"/>
  <c r="F38" i="5"/>
  <c r="I31" i="30"/>
  <c r="F28" i="44"/>
  <c r="H28" i="44" s="1"/>
  <c r="B29" i="41"/>
  <c r="F29" i="41"/>
  <c r="G29" i="41" s="1"/>
  <c r="I38" i="6"/>
  <c r="I29" i="37"/>
  <c r="I36" i="22"/>
  <c r="B28" i="44"/>
  <c r="F39" i="6"/>
  <c r="B39" i="6"/>
  <c r="B36" i="23"/>
  <c r="F36" i="23"/>
  <c r="F24" i="13"/>
  <c r="G24" i="13" s="1"/>
  <c r="N5" i="13" s="1"/>
  <c r="I33" i="24"/>
  <c r="F27" i="46"/>
  <c r="D28" i="46" s="1"/>
  <c r="B37" i="25"/>
  <c r="F37" i="25"/>
  <c r="F25" i="49"/>
  <c r="H25" i="49" s="1"/>
  <c r="B25" i="49"/>
  <c r="H24" i="55"/>
  <c r="B33" i="28"/>
  <c r="F33" i="28"/>
  <c r="I39" i="9"/>
  <c r="I38" i="8"/>
  <c r="B40" i="11"/>
  <c r="F40" i="11"/>
  <c r="B38" i="4"/>
  <c r="F38" i="4"/>
  <c r="B24" i="13"/>
  <c r="F23" i="57"/>
  <c r="G23" i="57" s="1"/>
  <c r="F34" i="24"/>
  <c r="B34" i="24"/>
  <c r="B27" i="46"/>
  <c r="I36" i="25"/>
  <c r="B37" i="22"/>
  <c r="F37" i="22"/>
  <c r="G24" i="55"/>
  <c r="I40" i="10"/>
  <c r="I32" i="28"/>
  <c r="B30" i="39"/>
  <c r="F30" i="39"/>
  <c r="G30" i="39" s="1"/>
  <c r="F40" i="9"/>
  <c r="B40" i="9"/>
  <c r="B29" i="43"/>
  <c r="F29" i="43"/>
  <c r="G29" i="43" s="1"/>
  <c r="F39" i="8"/>
  <c r="B39" i="8"/>
  <c r="I39" i="11"/>
  <c r="I24" i="47"/>
  <c r="E51" i="17"/>
  <c r="H24" i="13" l="1"/>
  <c r="G27" i="46"/>
  <c r="H27" i="46"/>
  <c r="D27" i="48"/>
  <c r="G26" i="48"/>
  <c r="H26" i="48"/>
  <c r="G25" i="47"/>
  <c r="D26" i="47"/>
  <c r="H25" i="47"/>
  <c r="G37" i="25"/>
  <c r="D38" i="25"/>
  <c r="H37" i="25"/>
  <c r="E38" i="25"/>
  <c r="D22" i="58"/>
  <c r="E22" i="58"/>
  <c r="E34" i="27"/>
  <c r="F34" i="27" s="1"/>
  <c r="B34" i="27"/>
  <c r="G25" i="49"/>
  <c r="I25" i="49" s="1"/>
  <c r="E28" i="46"/>
  <c r="F28" i="46" s="1"/>
  <c r="H28" i="46" s="1"/>
  <c r="B28" i="46"/>
  <c r="D30" i="41"/>
  <c r="E30" i="41"/>
  <c r="H30" i="37"/>
  <c r="I30" i="37" s="1"/>
  <c r="D31" i="37"/>
  <c r="E31" i="37"/>
  <c r="I33" i="27"/>
  <c r="H39" i="8"/>
  <c r="G39" i="8"/>
  <c r="D40" i="8"/>
  <c r="E40" i="8"/>
  <c r="G30" i="45"/>
  <c r="D31" i="45"/>
  <c r="G21" i="59"/>
  <c r="D22" i="59"/>
  <c r="E22" i="59"/>
  <c r="H29" i="43"/>
  <c r="I29" i="43" s="1"/>
  <c r="D30" i="43"/>
  <c r="E30" i="43"/>
  <c r="H30" i="39"/>
  <c r="I30" i="39" s="1"/>
  <c r="D31" i="39"/>
  <c r="E31" i="39"/>
  <c r="D25" i="13"/>
  <c r="E25" i="13"/>
  <c r="H33" i="29"/>
  <c r="G33" i="29"/>
  <c r="D34" i="29"/>
  <c r="E34" i="29"/>
  <c r="H41" i="7"/>
  <c r="D42" i="7"/>
  <c r="G41" i="7"/>
  <c r="E26" i="55"/>
  <c r="F26" i="55" s="1"/>
  <c r="B26" i="55"/>
  <c r="G40" i="9"/>
  <c r="H40" i="9"/>
  <c r="D41" i="9"/>
  <c r="E41" i="9"/>
  <c r="H38" i="4"/>
  <c r="D39" i="4"/>
  <c r="G38" i="4"/>
  <c r="E39" i="4"/>
  <c r="I24" i="55"/>
  <c r="H36" i="23"/>
  <c r="D37" i="23"/>
  <c r="G36" i="23"/>
  <c r="E37" i="23"/>
  <c r="D34" i="31"/>
  <c r="G33" i="31"/>
  <c r="H33" i="31"/>
  <c r="E34" i="31"/>
  <c r="G40" i="11"/>
  <c r="H40" i="11"/>
  <c r="D41" i="11"/>
  <c r="E41" i="11"/>
  <c r="G33" i="28"/>
  <c r="D34" i="28"/>
  <c r="H33" i="28"/>
  <c r="E34" i="28"/>
  <c r="G28" i="44"/>
  <c r="I28" i="44" s="1"/>
  <c r="D29" i="44"/>
  <c r="E29" i="44"/>
  <c r="G23" i="54"/>
  <c r="I23" i="54" s="1"/>
  <c r="D24" i="54"/>
  <c r="E24" i="54"/>
  <c r="G29" i="42"/>
  <c r="I29" i="42" s="1"/>
  <c r="D30" i="42"/>
  <c r="E30" i="42"/>
  <c r="H30" i="38"/>
  <c r="I30" i="38" s="1"/>
  <c r="D31" i="38"/>
  <c r="E31" i="38"/>
  <c r="B25" i="55"/>
  <c r="G25" i="55"/>
  <c r="H25" i="55"/>
  <c r="D26" i="49"/>
  <c r="E26" i="49"/>
  <c r="D42" i="10"/>
  <c r="G41" i="10"/>
  <c r="H41" i="10"/>
  <c r="D35" i="24"/>
  <c r="H34" i="24"/>
  <c r="G34" i="24"/>
  <c r="E35" i="24"/>
  <c r="H39" i="6"/>
  <c r="G39" i="6"/>
  <c r="D40" i="6"/>
  <c r="E40" i="6"/>
  <c r="H23" i="57"/>
  <c r="I23" i="57" s="1"/>
  <c r="D24" i="57"/>
  <c r="E24" i="57"/>
  <c r="H30" i="45"/>
  <c r="G32" i="30"/>
  <c r="D33" i="30"/>
  <c r="H32" i="30"/>
  <c r="E33" i="30"/>
  <c r="H38" i="3"/>
  <c r="D39" i="3"/>
  <c r="G38" i="3"/>
  <c r="E39" i="3"/>
  <c r="G21" i="58"/>
  <c r="I21" i="58" s="1"/>
  <c r="H21" i="59"/>
  <c r="D38" i="22"/>
  <c r="G37" i="22"/>
  <c r="H37" i="22"/>
  <c r="E38" i="22"/>
  <c r="D39" i="5"/>
  <c r="H38" i="5"/>
  <c r="G38" i="5"/>
  <c r="E39" i="5"/>
  <c r="I27" i="46"/>
  <c r="N6" i="13"/>
  <c r="N19" i="1" s="1"/>
  <c r="N20" i="1" s="1"/>
  <c r="I24" i="13"/>
  <c r="H29" i="41"/>
  <c r="I29" i="41" s="1"/>
  <c r="H29" i="40"/>
  <c r="I29" i="40" s="1"/>
  <c r="D30" i="40"/>
  <c r="E30" i="40"/>
  <c r="I29" i="45"/>
  <c r="I26" i="48" l="1"/>
  <c r="I25" i="55"/>
  <c r="I30" i="45"/>
  <c r="I38" i="5"/>
  <c r="F29" i="44"/>
  <c r="D30" i="44" s="1"/>
  <c r="G26" i="55"/>
  <c r="D27" i="55"/>
  <c r="H26" i="55"/>
  <c r="I40" i="11"/>
  <c r="F37" i="23"/>
  <c r="B37" i="23"/>
  <c r="I41" i="10"/>
  <c r="I38" i="4"/>
  <c r="B31" i="37"/>
  <c r="F31" i="37"/>
  <c r="G31" i="37" s="1"/>
  <c r="G34" i="27"/>
  <c r="D35" i="27"/>
  <c r="H34" i="27"/>
  <c r="E26" i="47"/>
  <c r="F26" i="47" s="1"/>
  <c r="H26" i="47" s="1"/>
  <c r="B26" i="47"/>
  <c r="B26" i="49"/>
  <c r="F26" i="49"/>
  <c r="H26" i="49" s="1"/>
  <c r="F39" i="4"/>
  <c r="B39" i="4"/>
  <c r="B25" i="13"/>
  <c r="B22" i="59"/>
  <c r="F22" i="59"/>
  <c r="H22" i="59" s="1"/>
  <c r="B30" i="42"/>
  <c r="F30" i="42"/>
  <c r="G30" i="42" s="1"/>
  <c r="B29" i="44"/>
  <c r="I36" i="23"/>
  <c r="E42" i="7"/>
  <c r="F42" i="7" s="1"/>
  <c r="B42" i="7"/>
  <c r="I37" i="22"/>
  <c r="I32" i="30"/>
  <c r="I39" i="6"/>
  <c r="I41" i="7"/>
  <c r="I33" i="29"/>
  <c r="F40" i="8"/>
  <c r="B40" i="8"/>
  <c r="I25" i="47"/>
  <c r="F24" i="57"/>
  <c r="G24" i="57" s="1"/>
  <c r="B24" i="57"/>
  <c r="F34" i="31"/>
  <c r="B34" i="31"/>
  <c r="F30" i="40"/>
  <c r="G30" i="40" s="1"/>
  <c r="B30" i="40"/>
  <c r="F33" i="30"/>
  <c r="B33" i="30"/>
  <c r="E42" i="10"/>
  <c r="F42" i="10" s="1"/>
  <c r="B42" i="10"/>
  <c r="I33" i="28"/>
  <c r="F41" i="9"/>
  <c r="B41" i="9"/>
  <c r="F31" i="39"/>
  <c r="B31" i="39"/>
  <c r="E31" i="45"/>
  <c r="F31" i="45" s="1"/>
  <c r="B31" i="45"/>
  <c r="B40" i="6"/>
  <c r="F40" i="6"/>
  <c r="F38" i="22"/>
  <c r="B38" i="22"/>
  <c r="F31" i="38"/>
  <c r="H31" i="38" s="1"/>
  <c r="B31" i="38"/>
  <c r="B34" i="28"/>
  <c r="F34" i="28"/>
  <c r="I40" i="9"/>
  <c r="I39" i="8"/>
  <c r="B22" i="58"/>
  <c r="F22" i="58"/>
  <c r="G22" i="58" s="1"/>
  <c r="I38" i="3"/>
  <c r="F34" i="29"/>
  <c r="B34" i="29"/>
  <c r="I34" i="24"/>
  <c r="B39" i="5"/>
  <c r="F39" i="5"/>
  <c r="I21" i="59"/>
  <c r="F35" i="24"/>
  <c r="B35" i="24"/>
  <c r="E27" i="48"/>
  <c r="F27" i="48" s="1"/>
  <c r="G27" i="48" s="1"/>
  <c r="B27" i="48"/>
  <c r="I37" i="25"/>
  <c r="B24" i="54"/>
  <c r="F24" i="54"/>
  <c r="H24" i="54" s="1"/>
  <c r="F30" i="43"/>
  <c r="G30" i="43" s="1"/>
  <c r="B30" i="43"/>
  <c r="B30" i="41"/>
  <c r="F30" i="41"/>
  <c r="H30" i="41" s="1"/>
  <c r="G28" i="46"/>
  <c r="I28" i="46" s="1"/>
  <c r="D29" i="46"/>
  <c r="N7" i="13"/>
  <c r="F39" i="3"/>
  <c r="B39" i="3"/>
  <c r="B41" i="11"/>
  <c r="F41" i="11"/>
  <c r="I33" i="31"/>
  <c r="F25" i="13"/>
  <c r="H25" i="13" s="1"/>
  <c r="F38" i="25"/>
  <c r="B38" i="25"/>
  <c r="F51" i="17"/>
  <c r="H29" i="44" l="1"/>
  <c r="G26" i="49"/>
  <c r="E30" i="44"/>
  <c r="G29" i="44"/>
  <c r="G24" i="54"/>
  <c r="I26" i="55"/>
  <c r="I26" i="49"/>
  <c r="G51" i="17"/>
  <c r="T51" i="17" s="1"/>
  <c r="H31" i="45"/>
  <c r="D32" i="45"/>
  <c r="E32" i="45"/>
  <c r="G31" i="45"/>
  <c r="D25" i="54"/>
  <c r="E25" i="54"/>
  <c r="D31" i="40"/>
  <c r="E31" i="40"/>
  <c r="D27" i="49"/>
  <c r="E27" i="49"/>
  <c r="E35" i="27"/>
  <c r="F35" i="27" s="1"/>
  <c r="B35" i="27"/>
  <c r="R133" i="1"/>
  <c r="G41" i="11"/>
  <c r="H41" i="11"/>
  <c r="D42" i="11"/>
  <c r="H22" i="58"/>
  <c r="I22" i="58" s="1"/>
  <c r="D23" i="58"/>
  <c r="E23" i="58"/>
  <c r="G31" i="38"/>
  <c r="I31" i="38" s="1"/>
  <c r="D32" i="38"/>
  <c r="E32" i="38"/>
  <c r="H42" i="7"/>
  <c r="G42" i="7"/>
  <c r="D43" i="7"/>
  <c r="E43" i="7"/>
  <c r="H37" i="23"/>
  <c r="D38" i="23"/>
  <c r="G37" i="23"/>
  <c r="E38" i="23"/>
  <c r="H30" i="43"/>
  <c r="I30" i="43" s="1"/>
  <c r="D31" i="43"/>
  <c r="E31" i="43"/>
  <c r="G38" i="22"/>
  <c r="H38" i="22"/>
  <c r="D39" i="22"/>
  <c r="E39" i="22"/>
  <c r="G31" i="39"/>
  <c r="D32" i="39"/>
  <c r="E32" i="39"/>
  <c r="G42" i="10"/>
  <c r="D43" i="10"/>
  <c r="H42" i="10"/>
  <c r="E43" i="10"/>
  <c r="D39" i="25"/>
  <c r="G38" i="25"/>
  <c r="H38" i="25"/>
  <c r="E39" i="25"/>
  <c r="H27" i="48"/>
  <c r="I27" i="48" s="1"/>
  <c r="D28" i="48"/>
  <c r="D26" i="13"/>
  <c r="E26" i="13"/>
  <c r="H30" i="42"/>
  <c r="I30" i="42" s="1"/>
  <c r="D31" i="42"/>
  <c r="E31" i="42"/>
  <c r="H39" i="4"/>
  <c r="G39" i="4"/>
  <c r="D40" i="4"/>
  <c r="E27" i="55"/>
  <c r="F27" i="55" s="1"/>
  <c r="H27" i="55" s="1"/>
  <c r="B27" i="55"/>
  <c r="H39" i="5"/>
  <c r="D40" i="5"/>
  <c r="G39" i="5"/>
  <c r="E40" i="5"/>
  <c r="E29" i="46"/>
  <c r="F29" i="46" s="1"/>
  <c r="B29" i="46"/>
  <c r="G30" i="41"/>
  <c r="I30" i="41" s="1"/>
  <c r="D31" i="41"/>
  <c r="E31" i="41"/>
  <c r="D34" i="30"/>
  <c r="H33" i="30"/>
  <c r="G33" i="30"/>
  <c r="E34" i="30"/>
  <c r="G26" i="47"/>
  <c r="I26" i="47" s="1"/>
  <c r="D27" i="47"/>
  <c r="H34" i="28"/>
  <c r="G34" i="28"/>
  <c r="D35" i="28"/>
  <c r="E35" i="28"/>
  <c r="G35" i="24"/>
  <c r="D36" i="24"/>
  <c r="H35" i="24"/>
  <c r="E36" i="24"/>
  <c r="I34" i="27"/>
  <c r="D40" i="3"/>
  <c r="G39" i="3"/>
  <c r="H39" i="3"/>
  <c r="E40" i="3"/>
  <c r="H24" i="57"/>
  <c r="I24" i="57" s="1"/>
  <c r="D25" i="57"/>
  <c r="E25" i="57"/>
  <c r="G22" i="59"/>
  <c r="I22" i="59" s="1"/>
  <c r="D23" i="59"/>
  <c r="E23" i="59"/>
  <c r="F30" i="44"/>
  <c r="G30" i="44" s="1"/>
  <c r="H31" i="37"/>
  <c r="I31" i="37" s="1"/>
  <c r="D32" i="37"/>
  <c r="E32" i="37"/>
  <c r="H31" i="39"/>
  <c r="G41" i="9"/>
  <c r="H41" i="9"/>
  <c r="D42" i="9"/>
  <c r="H30" i="40"/>
  <c r="I30" i="40" s="1"/>
  <c r="B30" i="44"/>
  <c r="I24" i="54"/>
  <c r="G34" i="29"/>
  <c r="D35" i="29"/>
  <c r="H34" i="29"/>
  <c r="E35" i="29"/>
  <c r="H40" i="6"/>
  <c r="D41" i="6"/>
  <c r="G40" i="6"/>
  <c r="H34" i="31"/>
  <c r="D35" i="31"/>
  <c r="G34" i="31"/>
  <c r="E35" i="31"/>
  <c r="G40" i="8"/>
  <c r="D41" i="8"/>
  <c r="H40" i="8"/>
  <c r="I29" i="44"/>
  <c r="G25" i="13"/>
  <c r="I25" i="13" s="1"/>
  <c r="F32" i="45" l="1"/>
  <c r="G32" i="45" s="1"/>
  <c r="F26" i="13"/>
  <c r="I31" i="45"/>
  <c r="I35" i="24"/>
  <c r="I31" i="39"/>
  <c r="I40" i="8"/>
  <c r="I39" i="4"/>
  <c r="I39" i="5"/>
  <c r="F25" i="54"/>
  <c r="G25" i="54" s="1"/>
  <c r="F25" i="57"/>
  <c r="H30" i="44"/>
  <c r="I30" i="44" s="1"/>
  <c r="G29" i="46"/>
  <c r="D30" i="46"/>
  <c r="H29" i="46"/>
  <c r="E41" i="8"/>
  <c r="F41" i="8" s="1"/>
  <c r="B41" i="8"/>
  <c r="B34" i="30"/>
  <c r="F34" i="30"/>
  <c r="F31" i="43"/>
  <c r="G31" i="43" s="1"/>
  <c r="B31" i="43"/>
  <c r="I42" i="7"/>
  <c r="B25" i="54"/>
  <c r="F43" i="10"/>
  <c r="B43" i="10"/>
  <c r="E42" i="9"/>
  <c r="F42" i="9" s="1"/>
  <c r="B42" i="9"/>
  <c r="D31" i="44"/>
  <c r="E31" i="44"/>
  <c r="F31" i="42"/>
  <c r="G31" i="42" s="1"/>
  <c r="B31" i="42"/>
  <c r="D27" i="13"/>
  <c r="E27" i="13"/>
  <c r="F31" i="40"/>
  <c r="H31" i="40" s="1"/>
  <c r="B31" i="40"/>
  <c r="B35" i="29"/>
  <c r="F35" i="29"/>
  <c r="I34" i="31"/>
  <c r="E41" i="6"/>
  <c r="F41" i="6" s="1"/>
  <c r="B41" i="6"/>
  <c r="I40" i="6"/>
  <c r="I41" i="9"/>
  <c r="I39" i="3"/>
  <c r="B26" i="13"/>
  <c r="H26" i="13"/>
  <c r="G26" i="13"/>
  <c r="F32" i="39"/>
  <c r="B32" i="39"/>
  <c r="F38" i="23"/>
  <c r="B38" i="23"/>
  <c r="B32" i="38"/>
  <c r="F32" i="38"/>
  <c r="G35" i="27"/>
  <c r="D36" i="27"/>
  <c r="B36" i="27" s="1"/>
  <c r="H35" i="27"/>
  <c r="E36" i="27"/>
  <c r="F23" i="59"/>
  <c r="H23" i="59" s="1"/>
  <c r="B23" i="59"/>
  <c r="D26" i="57"/>
  <c r="E26" i="57"/>
  <c r="F31" i="41"/>
  <c r="H31" i="41" s="1"/>
  <c r="B31" i="41"/>
  <c r="G27" i="55"/>
  <c r="I27" i="55" s="1"/>
  <c r="D28" i="55"/>
  <c r="I37" i="23"/>
  <c r="B32" i="45"/>
  <c r="I34" i="29"/>
  <c r="F32" i="37"/>
  <c r="B32" i="37"/>
  <c r="B25" i="57"/>
  <c r="H25" i="57"/>
  <c r="G25" i="57"/>
  <c r="B40" i="3"/>
  <c r="F40" i="3"/>
  <c r="B35" i="28"/>
  <c r="F35" i="28"/>
  <c r="I38" i="25"/>
  <c r="E40" i="4"/>
  <c r="F40" i="4" s="1"/>
  <c r="B40" i="4"/>
  <c r="B39" i="22"/>
  <c r="F39" i="22"/>
  <c r="B23" i="58"/>
  <c r="F23" i="58"/>
  <c r="H23" i="58" s="1"/>
  <c r="E42" i="11"/>
  <c r="F42" i="11" s="1"/>
  <c r="B42" i="11"/>
  <c r="F27" i="49"/>
  <c r="H27" i="49" s="1"/>
  <c r="B27" i="49"/>
  <c r="B35" i="31"/>
  <c r="F35" i="31"/>
  <c r="B36" i="24"/>
  <c r="F36" i="24"/>
  <c r="I34" i="28"/>
  <c r="E27" i="47"/>
  <c r="F27" i="47" s="1"/>
  <c r="B27" i="47"/>
  <c r="I33" i="30"/>
  <c r="B40" i="5"/>
  <c r="F40" i="5"/>
  <c r="E28" i="48"/>
  <c r="F28" i="48" s="1"/>
  <c r="H28" i="48" s="1"/>
  <c r="B28" i="48"/>
  <c r="F39" i="25"/>
  <c r="B39" i="25"/>
  <c r="I42" i="10"/>
  <c r="I38" i="22"/>
  <c r="F43" i="7"/>
  <c r="B43" i="7"/>
  <c r="I41" i="11"/>
  <c r="D33" i="45" l="1"/>
  <c r="E33" i="45"/>
  <c r="H32" i="45"/>
  <c r="E26" i="54"/>
  <c r="D26" i="54"/>
  <c r="I32" i="45"/>
  <c r="H25" i="54"/>
  <c r="F27" i="13"/>
  <c r="D28" i="13" s="1"/>
  <c r="G31" i="40"/>
  <c r="I31" i="40" s="1"/>
  <c r="I25" i="57"/>
  <c r="I26" i="13"/>
  <c r="I35" i="27"/>
  <c r="H27" i="47"/>
  <c r="D28" i="47"/>
  <c r="G27" i="47"/>
  <c r="G40" i="4"/>
  <c r="D41" i="4"/>
  <c r="H40" i="4"/>
  <c r="E41" i="4"/>
  <c r="D33" i="37"/>
  <c r="E33" i="37"/>
  <c r="G31" i="41"/>
  <c r="I31" i="41" s="1"/>
  <c r="G23" i="59"/>
  <c r="I23" i="59" s="1"/>
  <c r="D43" i="9"/>
  <c r="G42" i="9"/>
  <c r="H42" i="9"/>
  <c r="H31" i="43"/>
  <c r="I31" i="43" s="1"/>
  <c r="H41" i="8"/>
  <c r="D42" i="8"/>
  <c r="G41" i="8"/>
  <c r="G32" i="39"/>
  <c r="D33" i="39"/>
  <c r="E33" i="39"/>
  <c r="G39" i="25"/>
  <c r="H39" i="25"/>
  <c r="D40" i="25"/>
  <c r="D41" i="5"/>
  <c r="G40" i="5"/>
  <c r="H40" i="5"/>
  <c r="H36" i="24"/>
  <c r="G36" i="24"/>
  <c r="D37" i="24"/>
  <c r="E37" i="24"/>
  <c r="G35" i="31"/>
  <c r="H35" i="31"/>
  <c r="D36" i="31"/>
  <c r="E36" i="31"/>
  <c r="H35" i="29"/>
  <c r="G35" i="29"/>
  <c r="D36" i="29"/>
  <c r="E36" i="29"/>
  <c r="H43" i="10"/>
  <c r="G43" i="10"/>
  <c r="D44" i="10"/>
  <c r="E44" i="10"/>
  <c r="H43" i="7"/>
  <c r="G43" i="7"/>
  <c r="D44" i="7"/>
  <c r="E44" i="7"/>
  <c r="G27" i="49"/>
  <c r="I27" i="49" s="1"/>
  <c r="D28" i="49"/>
  <c r="E28" i="49"/>
  <c r="F33" i="45"/>
  <c r="D34" i="45" s="1"/>
  <c r="F36" i="27"/>
  <c r="D32" i="40"/>
  <c r="E32" i="40"/>
  <c r="B27" i="13"/>
  <c r="G34" i="30"/>
  <c r="H34" i="30"/>
  <c r="D35" i="30"/>
  <c r="E35" i="30"/>
  <c r="B31" i="44"/>
  <c r="G28" i="48"/>
  <c r="I28" i="48" s="1"/>
  <c r="D29" i="48"/>
  <c r="E29" i="48"/>
  <c r="G35" i="28"/>
  <c r="D36" i="28"/>
  <c r="H35" i="28"/>
  <c r="E36" i="28"/>
  <c r="D32" i="41"/>
  <c r="E32" i="41"/>
  <c r="D24" i="59"/>
  <c r="E24" i="59"/>
  <c r="B33" i="45"/>
  <c r="D39" i="23"/>
  <c r="G38" i="23"/>
  <c r="H38" i="23"/>
  <c r="B26" i="54"/>
  <c r="F26" i="54"/>
  <c r="H26" i="54" s="1"/>
  <c r="D32" i="43"/>
  <c r="E32" i="43"/>
  <c r="F26" i="57"/>
  <c r="B26" i="57"/>
  <c r="H32" i="38"/>
  <c r="D33" i="38"/>
  <c r="E33" i="38"/>
  <c r="E28" i="55"/>
  <c r="F28" i="55" s="1"/>
  <c r="H28" i="55" s="1"/>
  <c r="B28" i="55"/>
  <c r="G41" i="6"/>
  <c r="H41" i="6"/>
  <c r="D42" i="6"/>
  <c r="H42" i="11"/>
  <c r="D43" i="11"/>
  <c r="G42" i="11"/>
  <c r="H39" i="22"/>
  <c r="D40" i="22"/>
  <c r="G39" i="22"/>
  <c r="D41" i="3"/>
  <c r="G40" i="3"/>
  <c r="H40" i="3"/>
  <c r="H32" i="37"/>
  <c r="H32" i="39"/>
  <c r="I29" i="46"/>
  <c r="G23" i="58"/>
  <c r="I23" i="58" s="1"/>
  <c r="D24" i="58"/>
  <c r="E24" i="58"/>
  <c r="G32" i="37"/>
  <c r="G32" i="38"/>
  <c r="H31" i="42"/>
  <c r="I31" i="42" s="1"/>
  <c r="D32" i="42"/>
  <c r="E32" i="42"/>
  <c r="F31" i="44"/>
  <c r="G31" i="44" s="1"/>
  <c r="I25" i="54"/>
  <c r="E30" i="46"/>
  <c r="F30" i="46" s="1"/>
  <c r="B30" i="46"/>
  <c r="I32" i="38" l="1"/>
  <c r="I40" i="4"/>
  <c r="G27" i="13"/>
  <c r="H27" i="13"/>
  <c r="E28" i="13"/>
  <c r="I27" i="47"/>
  <c r="I38" i="23"/>
  <c r="I35" i="28"/>
  <c r="I39" i="25"/>
  <c r="I34" i="30"/>
  <c r="I40" i="3"/>
  <c r="I40" i="5"/>
  <c r="I42" i="11"/>
  <c r="H31" i="44"/>
  <c r="I31" i="44" s="1"/>
  <c r="I35" i="31"/>
  <c r="I43" i="10"/>
  <c r="I32" i="37"/>
  <c r="I39" i="22"/>
  <c r="I32" i="39"/>
  <c r="F33" i="37"/>
  <c r="H33" i="37" s="1"/>
  <c r="B33" i="37"/>
  <c r="H30" i="46"/>
  <c r="D31" i="46"/>
  <c r="E31" i="46"/>
  <c r="B32" i="42"/>
  <c r="F32" i="42"/>
  <c r="H32" i="42"/>
  <c r="G26" i="57"/>
  <c r="D27" i="57"/>
  <c r="E27" i="57"/>
  <c r="B37" i="24"/>
  <c r="F37" i="24"/>
  <c r="B33" i="39"/>
  <c r="F33" i="39"/>
  <c r="H33" i="39" s="1"/>
  <c r="I42" i="9"/>
  <c r="I27" i="13"/>
  <c r="E41" i="3"/>
  <c r="F41" i="3" s="1"/>
  <c r="B41" i="3"/>
  <c r="B44" i="7"/>
  <c r="F44" i="7"/>
  <c r="I36" i="24"/>
  <c r="E42" i="8"/>
  <c r="F42" i="8" s="1"/>
  <c r="B42" i="8"/>
  <c r="E43" i="9"/>
  <c r="F43" i="9" s="1"/>
  <c r="B43" i="9"/>
  <c r="E28" i="47"/>
  <c r="F28" i="47" s="1"/>
  <c r="B28" i="47"/>
  <c r="E43" i="11"/>
  <c r="F43" i="11" s="1"/>
  <c r="B43" i="11"/>
  <c r="B32" i="43"/>
  <c r="F32" i="43"/>
  <c r="H32" i="43" s="1"/>
  <c r="E39" i="23"/>
  <c r="F39" i="23" s="1"/>
  <c r="B39" i="23"/>
  <c r="B24" i="59"/>
  <c r="F24" i="59"/>
  <c r="H24" i="59" s="1"/>
  <c r="F29" i="48"/>
  <c r="G29" i="48" s="1"/>
  <c r="B29" i="48"/>
  <c r="B35" i="30"/>
  <c r="F35" i="30"/>
  <c r="G33" i="45"/>
  <c r="B44" i="10"/>
  <c r="F44" i="10"/>
  <c r="I41" i="8"/>
  <c r="B28" i="13"/>
  <c r="B24" i="58"/>
  <c r="F24" i="58"/>
  <c r="H24" i="58" s="1"/>
  <c r="E40" i="22"/>
  <c r="F40" i="22" s="1"/>
  <c r="B40" i="22"/>
  <c r="B33" i="38"/>
  <c r="F33" i="38"/>
  <c r="G33" i="38" s="1"/>
  <c r="H33" i="45"/>
  <c r="B32" i="41"/>
  <c r="F32" i="41"/>
  <c r="G32" i="41" s="1"/>
  <c r="B32" i="40"/>
  <c r="F32" i="40"/>
  <c r="H36" i="27"/>
  <c r="G36" i="27"/>
  <c r="D37" i="27"/>
  <c r="B37" i="27" s="1"/>
  <c r="E37" i="27"/>
  <c r="I43" i="7"/>
  <c r="F36" i="29"/>
  <c r="B36" i="29"/>
  <c r="F36" i="31"/>
  <c r="B36" i="31"/>
  <c r="F36" i="28"/>
  <c r="B36" i="28"/>
  <c r="E34" i="45"/>
  <c r="F34" i="45" s="1"/>
  <c r="B34" i="45"/>
  <c r="E41" i="5"/>
  <c r="F41" i="5" s="1"/>
  <c r="B41" i="5"/>
  <c r="F41" i="4"/>
  <c r="B41" i="4"/>
  <c r="F28" i="49"/>
  <c r="G28" i="49" s="1"/>
  <c r="B28" i="49"/>
  <c r="E42" i="6"/>
  <c r="F42" i="6" s="1"/>
  <c r="B42" i="6"/>
  <c r="G28" i="55"/>
  <c r="I28" i="55" s="1"/>
  <c r="D29" i="55"/>
  <c r="G30" i="46"/>
  <c r="D32" i="44"/>
  <c r="E32" i="44"/>
  <c r="I41" i="6"/>
  <c r="H26" i="57"/>
  <c r="G26" i="54"/>
  <c r="I26" i="54" s="1"/>
  <c r="D27" i="54"/>
  <c r="E27" i="54"/>
  <c r="F28" i="13"/>
  <c r="I35" i="29"/>
  <c r="E40" i="25"/>
  <c r="F40" i="25" s="1"/>
  <c r="B40" i="25"/>
  <c r="I26" i="57" l="1"/>
  <c r="F37" i="27"/>
  <c r="I33" i="45"/>
  <c r="I30" i="46"/>
  <c r="F27" i="57"/>
  <c r="I36" i="27"/>
  <c r="D43" i="6"/>
  <c r="H42" i="6"/>
  <c r="G42" i="6"/>
  <c r="E43" i="6"/>
  <c r="G41" i="5"/>
  <c r="D42" i="5"/>
  <c r="H41" i="5"/>
  <c r="E42" i="5"/>
  <c r="D44" i="11"/>
  <c r="G43" i="11"/>
  <c r="H43" i="11"/>
  <c r="G34" i="45"/>
  <c r="D35" i="45"/>
  <c r="H34" i="45"/>
  <c r="D41" i="22"/>
  <c r="G40" i="22"/>
  <c r="H40" i="22"/>
  <c r="H28" i="47"/>
  <c r="D29" i="47"/>
  <c r="G28" i="47"/>
  <c r="G39" i="23"/>
  <c r="D40" i="23"/>
  <c r="H39" i="23"/>
  <c r="D44" i="9"/>
  <c r="G43" i="9"/>
  <c r="H43" i="9"/>
  <c r="D33" i="40"/>
  <c r="E33" i="40"/>
  <c r="D42" i="4"/>
  <c r="G41" i="4"/>
  <c r="H41" i="4"/>
  <c r="F31" i="46"/>
  <c r="D32" i="46" s="1"/>
  <c r="D45" i="10"/>
  <c r="H44" i="10"/>
  <c r="G44" i="10"/>
  <c r="E45" i="10"/>
  <c r="B27" i="57"/>
  <c r="H27" i="57"/>
  <c r="E29" i="55"/>
  <c r="F29" i="55" s="1"/>
  <c r="B29" i="55"/>
  <c r="H28" i="49"/>
  <c r="I28" i="49" s="1"/>
  <c r="D29" i="49"/>
  <c r="E29" i="49"/>
  <c r="D38" i="27"/>
  <c r="G37" i="27"/>
  <c r="H37" i="27"/>
  <c r="E38" i="27"/>
  <c r="D43" i="8"/>
  <c r="G42" i="8"/>
  <c r="H42" i="8"/>
  <c r="H41" i="3"/>
  <c r="D42" i="3"/>
  <c r="G41" i="3"/>
  <c r="E42" i="3"/>
  <c r="G27" i="57"/>
  <c r="D28" i="57"/>
  <c r="E28" i="57"/>
  <c r="B31" i="46"/>
  <c r="D29" i="13"/>
  <c r="E29" i="13"/>
  <c r="F32" i="44"/>
  <c r="G32" i="44" s="1"/>
  <c r="G36" i="28"/>
  <c r="D37" i="28"/>
  <c r="H36" i="28"/>
  <c r="E37" i="28"/>
  <c r="H29" i="48"/>
  <c r="I29" i="48" s="1"/>
  <c r="D30" i="48"/>
  <c r="E30" i="48"/>
  <c r="G32" i="43"/>
  <c r="I32" i="43" s="1"/>
  <c r="D33" i="43"/>
  <c r="E33" i="43"/>
  <c r="B32" i="44"/>
  <c r="H33" i="38"/>
  <c r="I33" i="38" s="1"/>
  <c r="D34" i="38"/>
  <c r="E34" i="38"/>
  <c r="G28" i="13"/>
  <c r="G33" i="39"/>
  <c r="I33" i="39" s="1"/>
  <c r="D34" i="39"/>
  <c r="E34" i="39"/>
  <c r="D37" i="31"/>
  <c r="G36" i="31"/>
  <c r="H36" i="31"/>
  <c r="G32" i="40"/>
  <c r="H32" i="41"/>
  <c r="I32" i="41" s="1"/>
  <c r="D33" i="41"/>
  <c r="E33" i="41"/>
  <c r="H28" i="13"/>
  <c r="G24" i="59"/>
  <c r="I24" i="59" s="1"/>
  <c r="D25" i="59"/>
  <c r="E25" i="59"/>
  <c r="G33" i="37"/>
  <c r="I33" i="37" s="1"/>
  <c r="D34" i="37"/>
  <c r="E34" i="37"/>
  <c r="B27" i="54"/>
  <c r="F27" i="54"/>
  <c r="H27" i="54" s="1"/>
  <c r="D41" i="25"/>
  <c r="G40" i="25"/>
  <c r="H40" i="25"/>
  <c r="G36" i="29"/>
  <c r="D37" i="29"/>
  <c r="H36" i="29"/>
  <c r="H32" i="40"/>
  <c r="G24" i="58"/>
  <c r="I24" i="58" s="1"/>
  <c r="D25" i="58"/>
  <c r="E25" i="58"/>
  <c r="G35" i="30"/>
  <c r="D36" i="30"/>
  <c r="H35" i="30"/>
  <c r="H44" i="7"/>
  <c r="D45" i="7"/>
  <c r="G44" i="7"/>
  <c r="E45" i="7"/>
  <c r="H37" i="24"/>
  <c r="D38" i="24"/>
  <c r="G37" i="24"/>
  <c r="E38" i="24"/>
  <c r="G32" i="42"/>
  <c r="I32" i="42" s="1"/>
  <c r="D33" i="42"/>
  <c r="E33" i="42"/>
  <c r="H31" i="46" l="1"/>
  <c r="I36" i="31"/>
  <c r="I43" i="11"/>
  <c r="G31" i="46"/>
  <c r="I28" i="13"/>
  <c r="I42" i="6"/>
  <c r="I37" i="24"/>
  <c r="F29" i="13"/>
  <c r="H29" i="13" s="1"/>
  <c r="I41" i="5"/>
  <c r="I40" i="25"/>
  <c r="I44" i="10"/>
  <c r="I31" i="46"/>
  <c r="I40" i="22"/>
  <c r="G29" i="55"/>
  <c r="D30" i="55"/>
  <c r="E30" i="55" s="1"/>
  <c r="F30" i="55" s="1"/>
  <c r="H29" i="55"/>
  <c r="B33" i="41"/>
  <c r="F33" i="41"/>
  <c r="H33" i="41" s="1"/>
  <c r="B34" i="38"/>
  <c r="F34" i="38"/>
  <c r="B30" i="48"/>
  <c r="F30" i="48"/>
  <c r="H30" i="48" s="1"/>
  <c r="F28" i="57"/>
  <c r="G28" i="57" s="1"/>
  <c r="B28" i="57"/>
  <c r="I41" i="3"/>
  <c r="I37" i="27"/>
  <c r="F29" i="49"/>
  <c r="G29" i="49" s="1"/>
  <c r="B29" i="49"/>
  <c r="I41" i="4"/>
  <c r="E29" i="47"/>
  <c r="F29" i="47" s="1"/>
  <c r="G29" i="47" s="1"/>
  <c r="B29" i="47"/>
  <c r="E35" i="45"/>
  <c r="F35" i="45" s="1"/>
  <c r="B35" i="45"/>
  <c r="I35" i="30"/>
  <c r="I36" i="28"/>
  <c r="I42" i="8"/>
  <c r="I43" i="9"/>
  <c r="B37" i="28"/>
  <c r="F37" i="28"/>
  <c r="F42" i="5"/>
  <c r="B42" i="5"/>
  <c r="B25" i="58"/>
  <c r="F25" i="58"/>
  <c r="G25" i="58" s="1"/>
  <c r="B29" i="13"/>
  <c r="E43" i="8"/>
  <c r="F43" i="8" s="1"/>
  <c r="B43" i="8"/>
  <c r="F45" i="10"/>
  <c r="B45" i="10"/>
  <c r="E44" i="9"/>
  <c r="F44" i="9" s="1"/>
  <c r="B44" i="9"/>
  <c r="B33" i="42"/>
  <c r="F33" i="42"/>
  <c r="H33" i="42" s="1"/>
  <c r="E41" i="25"/>
  <c r="F41" i="25" s="1"/>
  <c r="B41" i="25"/>
  <c r="D33" i="44"/>
  <c r="E33" i="44"/>
  <c r="B38" i="27"/>
  <c r="F38" i="27"/>
  <c r="F25" i="59"/>
  <c r="H25" i="59" s="1"/>
  <c r="B25" i="59"/>
  <c r="F45" i="7"/>
  <c r="B45" i="7"/>
  <c r="E37" i="31"/>
  <c r="F37" i="31" s="1"/>
  <c r="B37" i="31"/>
  <c r="H32" i="44"/>
  <c r="I32" i="44" s="1"/>
  <c r="I39" i="23"/>
  <c r="E41" i="22"/>
  <c r="F41" i="22" s="1"/>
  <c r="B41" i="22"/>
  <c r="I44" i="7"/>
  <c r="I32" i="40"/>
  <c r="F33" i="43"/>
  <c r="G33" i="43" s="1"/>
  <c r="B33" i="43"/>
  <c r="E40" i="23"/>
  <c r="F40" i="23" s="1"/>
  <c r="B40" i="23"/>
  <c r="E44" i="11"/>
  <c r="F44" i="11" s="1"/>
  <c r="B44" i="11"/>
  <c r="E37" i="29"/>
  <c r="F37" i="29" s="1"/>
  <c r="B37" i="29"/>
  <c r="E36" i="30"/>
  <c r="F36" i="30" s="1"/>
  <c r="B36" i="30"/>
  <c r="F34" i="37"/>
  <c r="H34" i="37" s="1"/>
  <c r="B34" i="37"/>
  <c r="E42" i="4"/>
  <c r="F42" i="4" s="1"/>
  <c r="B42" i="4"/>
  <c r="F38" i="24"/>
  <c r="B38" i="24"/>
  <c r="I36" i="29"/>
  <c r="B34" i="39"/>
  <c r="F34" i="39"/>
  <c r="H34" i="39" s="1"/>
  <c r="I27" i="57"/>
  <c r="F33" i="40"/>
  <c r="H33" i="40" s="1"/>
  <c r="B33" i="40"/>
  <c r="G27" i="54"/>
  <c r="I27" i="54" s="1"/>
  <c r="D28" i="54"/>
  <c r="E28" i="54"/>
  <c r="B42" i="3"/>
  <c r="F42" i="3"/>
  <c r="E32" i="46"/>
  <c r="F32" i="46" s="1"/>
  <c r="H32" i="46" s="1"/>
  <c r="B32" i="46"/>
  <c r="I28" i="47"/>
  <c r="I34" i="45"/>
  <c r="B43" i="6"/>
  <c r="F43" i="6"/>
  <c r="E30" i="13" l="1"/>
  <c r="I29" i="55"/>
  <c r="D30" i="13"/>
  <c r="G25" i="59"/>
  <c r="G29" i="13"/>
  <c r="G33" i="40"/>
  <c r="I25" i="59"/>
  <c r="F33" i="44"/>
  <c r="D34" i="44" s="1"/>
  <c r="G35" i="45"/>
  <c r="D36" i="45"/>
  <c r="H35" i="45"/>
  <c r="H44" i="11"/>
  <c r="D45" i="11"/>
  <c r="G44" i="11"/>
  <c r="E45" i="11"/>
  <c r="G41" i="25"/>
  <c r="D42" i="25"/>
  <c r="H41" i="25"/>
  <c r="H43" i="6"/>
  <c r="D44" i="6"/>
  <c r="G43" i="6"/>
  <c r="G43" i="8"/>
  <c r="H43" i="8"/>
  <c r="D44" i="8"/>
  <c r="E44" i="8"/>
  <c r="H25" i="58"/>
  <c r="I25" i="58" s="1"/>
  <c r="G34" i="38"/>
  <c r="D35" i="38"/>
  <c r="H42" i="4"/>
  <c r="G42" i="4"/>
  <c r="D43" i="4"/>
  <c r="E43" i="4"/>
  <c r="D43" i="3"/>
  <c r="G42" i="3"/>
  <c r="H42" i="3"/>
  <c r="H36" i="30"/>
  <c r="D37" i="30"/>
  <c r="G36" i="30"/>
  <c r="F30" i="13"/>
  <c r="H30" i="13" s="1"/>
  <c r="D39" i="27"/>
  <c r="B39" i="27" s="1"/>
  <c r="H38" i="27"/>
  <c r="G38" i="27"/>
  <c r="E39" i="27"/>
  <c r="I29" i="13"/>
  <c r="B30" i="55"/>
  <c r="H30" i="55"/>
  <c r="G30" i="55"/>
  <c r="D45" i="9"/>
  <c r="H44" i="9"/>
  <c r="G44" i="9"/>
  <c r="E45" i="9"/>
  <c r="D26" i="58"/>
  <c r="E26" i="58"/>
  <c r="H33" i="43"/>
  <c r="I33" i="43" s="1"/>
  <c r="D34" i="43"/>
  <c r="E34" i="43"/>
  <c r="D26" i="59"/>
  <c r="E26" i="59"/>
  <c r="H29" i="47"/>
  <c r="I29" i="47" s="1"/>
  <c r="D30" i="47"/>
  <c r="H29" i="49"/>
  <c r="I29" i="49" s="1"/>
  <c r="D30" i="49"/>
  <c r="E30" i="49"/>
  <c r="G32" i="46"/>
  <c r="I32" i="46" s="1"/>
  <c r="D33" i="46"/>
  <c r="E33" i="46"/>
  <c r="H41" i="22"/>
  <c r="G41" i="22"/>
  <c r="D42" i="22"/>
  <c r="E42" i="22"/>
  <c r="D46" i="10"/>
  <c r="H45" i="10"/>
  <c r="G45" i="10"/>
  <c r="E46" i="10"/>
  <c r="H42" i="5"/>
  <c r="D43" i="5"/>
  <c r="G42" i="5"/>
  <c r="I33" i="40"/>
  <c r="G34" i="39"/>
  <c r="I34" i="39" s="1"/>
  <c r="D35" i="39"/>
  <c r="E35" i="39"/>
  <c r="H40" i="23"/>
  <c r="G40" i="23"/>
  <c r="D41" i="23"/>
  <c r="E41" i="23"/>
  <c r="B30" i="13"/>
  <c r="G30" i="13"/>
  <c r="D34" i="40"/>
  <c r="E34" i="40"/>
  <c r="B28" i="54"/>
  <c r="F28" i="54"/>
  <c r="H28" i="54" s="1"/>
  <c r="B33" i="44"/>
  <c r="D31" i="55"/>
  <c r="E31" i="55" s="1"/>
  <c r="F31" i="55" s="1"/>
  <c r="G37" i="31"/>
  <c r="H37" i="31"/>
  <c r="D38" i="31"/>
  <c r="G37" i="29"/>
  <c r="D38" i="29"/>
  <c r="H37" i="29"/>
  <c r="E38" i="29"/>
  <c r="H38" i="24"/>
  <c r="G38" i="24"/>
  <c r="D39" i="24"/>
  <c r="G34" i="37"/>
  <c r="I34" i="37" s="1"/>
  <c r="D35" i="37"/>
  <c r="D46" i="7"/>
  <c r="G45" i="7"/>
  <c r="H45" i="7"/>
  <c r="E46" i="7"/>
  <c r="G33" i="42"/>
  <c r="I33" i="42" s="1"/>
  <c r="D34" i="42"/>
  <c r="H37" i="28"/>
  <c r="G37" i="28"/>
  <c r="D38" i="28"/>
  <c r="E38" i="28"/>
  <c r="H28" i="57"/>
  <c r="I28" i="57" s="1"/>
  <c r="D29" i="57"/>
  <c r="E29" i="57"/>
  <c r="G30" i="48"/>
  <c r="I30" i="48" s="1"/>
  <c r="D31" i="48"/>
  <c r="E31" i="48"/>
  <c r="H34" i="38"/>
  <c r="I34" i="38" s="1"/>
  <c r="G33" i="41"/>
  <c r="I33" i="41" s="1"/>
  <c r="D34" i="41"/>
  <c r="E34" i="41"/>
  <c r="I43" i="8" l="1"/>
  <c r="H33" i="44"/>
  <c r="E34" i="44"/>
  <c r="G33" i="44"/>
  <c r="I45" i="7"/>
  <c r="F39" i="27"/>
  <c r="G39" i="27" s="1"/>
  <c r="I42" i="3"/>
  <c r="I35" i="45"/>
  <c r="I30" i="55"/>
  <c r="I42" i="4"/>
  <c r="F26" i="59"/>
  <c r="E27" i="59" s="1"/>
  <c r="F33" i="46"/>
  <c r="D34" i="46" s="1"/>
  <c r="B34" i="46" s="1"/>
  <c r="I38" i="24"/>
  <c r="I37" i="31"/>
  <c r="I38" i="27"/>
  <c r="I37" i="28"/>
  <c r="I41" i="25"/>
  <c r="D32" i="55"/>
  <c r="E32" i="55" s="1"/>
  <c r="F32" i="55" s="1"/>
  <c r="F38" i="28"/>
  <c r="B38" i="28"/>
  <c r="E43" i="3"/>
  <c r="F43" i="3" s="1"/>
  <c r="B43" i="3"/>
  <c r="B31" i="48"/>
  <c r="F31" i="48"/>
  <c r="G31" i="48" s="1"/>
  <c r="E38" i="31"/>
  <c r="F38" i="31" s="1"/>
  <c r="B38" i="31"/>
  <c r="F41" i="23"/>
  <c r="B41" i="23"/>
  <c r="F34" i="44"/>
  <c r="H34" i="44" s="1"/>
  <c r="I41" i="22"/>
  <c r="E30" i="47"/>
  <c r="F30" i="47" s="1"/>
  <c r="D31" i="47" s="1"/>
  <c r="B30" i="47"/>
  <c r="B45" i="11"/>
  <c r="F45" i="11"/>
  <c r="F34" i="40"/>
  <c r="B34" i="40"/>
  <c r="E43" i="5"/>
  <c r="F43" i="5" s="1"/>
  <c r="B43" i="5"/>
  <c r="B34" i="44"/>
  <c r="F29" i="57"/>
  <c r="G29" i="57" s="1"/>
  <c r="E34" i="42"/>
  <c r="F34" i="42" s="1"/>
  <c r="B34" i="42"/>
  <c r="I37" i="29"/>
  <c r="I40" i="23"/>
  <c r="I42" i="5"/>
  <c r="B33" i="46"/>
  <c r="F26" i="58"/>
  <c r="G26" i="58" s="1"/>
  <c r="N5" i="58" s="1"/>
  <c r="E37" i="30"/>
  <c r="F37" i="30" s="1"/>
  <c r="B37" i="30"/>
  <c r="E44" i="6"/>
  <c r="F44" i="6" s="1"/>
  <c r="B44" i="6"/>
  <c r="I44" i="11"/>
  <c r="B45" i="9"/>
  <c r="F45" i="9"/>
  <c r="B29" i="57"/>
  <c r="H29" i="57"/>
  <c r="E35" i="37"/>
  <c r="F35" i="37" s="1"/>
  <c r="G35" i="37" s="1"/>
  <c r="B35" i="37"/>
  <c r="F38" i="29"/>
  <c r="B38" i="29"/>
  <c r="I33" i="44"/>
  <c r="G28" i="54"/>
  <c r="I28" i="54" s="1"/>
  <c r="D29" i="54"/>
  <c r="E29" i="54"/>
  <c r="I45" i="10"/>
  <c r="G26" i="59"/>
  <c r="N5" i="59" s="1"/>
  <c r="D27" i="59"/>
  <c r="B26" i="58"/>
  <c r="I36" i="30"/>
  <c r="I43" i="6"/>
  <c r="I30" i="13"/>
  <c r="F35" i="39"/>
  <c r="H35" i="39" s="1"/>
  <c r="B35" i="39"/>
  <c r="B46" i="10"/>
  <c r="F46" i="10"/>
  <c r="B26" i="59"/>
  <c r="H26" i="59"/>
  <c r="F44" i="8"/>
  <c r="B44" i="8"/>
  <c r="B46" i="7"/>
  <c r="F46" i="7"/>
  <c r="F34" i="41"/>
  <c r="G34" i="41" s="1"/>
  <c r="B34" i="41"/>
  <c r="B31" i="55"/>
  <c r="G31" i="55"/>
  <c r="H31" i="55"/>
  <c r="E39" i="24"/>
  <c r="F39" i="24" s="1"/>
  <c r="B39" i="24"/>
  <c r="B30" i="49"/>
  <c r="F30" i="49"/>
  <c r="H30" i="49" s="1"/>
  <c r="D31" i="13"/>
  <c r="E31" i="13"/>
  <c r="E35" i="38"/>
  <c r="F35" i="38" s="1"/>
  <c r="B35" i="38"/>
  <c r="E42" i="25"/>
  <c r="F42" i="25" s="1"/>
  <c r="B42" i="25"/>
  <c r="E36" i="45"/>
  <c r="F36" i="45" s="1"/>
  <c r="G36" i="45" s="1"/>
  <c r="B36" i="45"/>
  <c r="B43" i="4"/>
  <c r="F43" i="4"/>
  <c r="F42" i="22"/>
  <c r="B42" i="22"/>
  <c r="B34" i="43"/>
  <c r="F34" i="43"/>
  <c r="G34" i="43" s="1"/>
  <c r="I44" i="9"/>
  <c r="E53" i="17"/>
  <c r="E54" i="17"/>
  <c r="D40" i="27" l="1"/>
  <c r="B40" i="27" s="1"/>
  <c r="H39" i="27"/>
  <c r="F31" i="13"/>
  <c r="I26" i="59"/>
  <c r="E40" i="27"/>
  <c r="F40" i="27" s="1"/>
  <c r="G40" i="27" s="1"/>
  <c r="E34" i="46"/>
  <c r="F34" i="46" s="1"/>
  <c r="G34" i="46" s="1"/>
  <c r="G34" i="44"/>
  <c r="I34" i="44" s="1"/>
  <c r="H34" i="41"/>
  <c r="I34" i="41" s="1"/>
  <c r="G33" i="46"/>
  <c r="H33" i="46"/>
  <c r="H26" i="58"/>
  <c r="I26" i="58" s="1"/>
  <c r="G35" i="39"/>
  <c r="I35" i="39" s="1"/>
  <c r="I29" i="57"/>
  <c r="G30" i="47"/>
  <c r="M19" i="1"/>
  <c r="R132" i="1" s="1"/>
  <c r="H30" i="47"/>
  <c r="E56" i="17"/>
  <c r="H35" i="38"/>
  <c r="D36" i="38"/>
  <c r="G35" i="38"/>
  <c r="H38" i="31"/>
  <c r="D39" i="31"/>
  <c r="G38" i="31"/>
  <c r="H42" i="25"/>
  <c r="G42" i="25"/>
  <c r="D43" i="25"/>
  <c r="G32" i="55"/>
  <c r="D33" i="55"/>
  <c r="E33" i="55" s="1"/>
  <c r="F33" i="55" s="1"/>
  <c r="G43" i="5"/>
  <c r="D44" i="5"/>
  <c r="H43" i="5"/>
  <c r="E44" i="5"/>
  <c r="G39" i="24"/>
  <c r="D40" i="24"/>
  <c r="H39" i="24"/>
  <c r="E40" i="24"/>
  <c r="N7" i="59"/>
  <c r="G45" i="11"/>
  <c r="D46" i="11"/>
  <c r="H45" i="11"/>
  <c r="E46" i="11"/>
  <c r="D35" i="44"/>
  <c r="E35" i="44"/>
  <c r="H31" i="48"/>
  <c r="I31" i="48" s="1"/>
  <c r="D32" i="48"/>
  <c r="E32" i="48"/>
  <c r="H46" i="10"/>
  <c r="D47" i="10"/>
  <c r="G46" i="10"/>
  <c r="B29" i="54"/>
  <c r="F29" i="54"/>
  <c r="H29" i="54" s="1"/>
  <c r="H35" i="37"/>
  <c r="I35" i="37" s="1"/>
  <c r="D36" i="37"/>
  <c r="D30" i="57"/>
  <c r="E30" i="57"/>
  <c r="H41" i="23"/>
  <c r="G41" i="23"/>
  <c r="D42" i="23"/>
  <c r="E42" i="23"/>
  <c r="F27" i="59"/>
  <c r="G27" i="59" s="1"/>
  <c r="B27" i="59"/>
  <c r="G37" i="30"/>
  <c r="D38" i="30"/>
  <c r="H37" i="30"/>
  <c r="E38" i="30"/>
  <c r="G34" i="42"/>
  <c r="D35" i="42"/>
  <c r="E35" i="42"/>
  <c r="D32" i="13"/>
  <c r="E32" i="13"/>
  <c r="H36" i="45"/>
  <c r="I36" i="45" s="1"/>
  <c r="D37" i="45"/>
  <c r="E37" i="45"/>
  <c r="B31" i="13"/>
  <c r="H31" i="13"/>
  <c r="G31" i="13"/>
  <c r="G30" i="49"/>
  <c r="I30" i="49" s="1"/>
  <c r="D31" i="49"/>
  <c r="E31" i="49"/>
  <c r="H46" i="7"/>
  <c r="G46" i="7"/>
  <c r="D47" i="7"/>
  <c r="E47" i="7"/>
  <c r="G44" i="6"/>
  <c r="D45" i="6"/>
  <c r="H44" i="6"/>
  <c r="B32" i="55"/>
  <c r="H32" i="55"/>
  <c r="N7" i="58"/>
  <c r="D27" i="58"/>
  <c r="E27" i="58"/>
  <c r="E31" i="47"/>
  <c r="F31" i="47" s="1"/>
  <c r="B31" i="47"/>
  <c r="H43" i="3"/>
  <c r="D44" i="3"/>
  <c r="G43" i="3"/>
  <c r="E44" i="3"/>
  <c r="D35" i="40"/>
  <c r="E35" i="40"/>
  <c r="H42" i="22"/>
  <c r="G42" i="22"/>
  <c r="D43" i="22"/>
  <c r="E43" i="22"/>
  <c r="H43" i="4"/>
  <c r="G43" i="4"/>
  <c r="D44" i="4"/>
  <c r="E44" i="4"/>
  <c r="D35" i="41"/>
  <c r="E35" i="41"/>
  <c r="I39" i="27"/>
  <c r="G34" i="40"/>
  <c r="D39" i="28"/>
  <c r="H38" i="28"/>
  <c r="G38" i="28"/>
  <c r="E39" i="28"/>
  <c r="D45" i="8"/>
  <c r="G44" i="8"/>
  <c r="H44" i="8"/>
  <c r="E45" i="8"/>
  <c r="H38" i="29"/>
  <c r="D39" i="29"/>
  <c r="G38" i="29"/>
  <c r="H34" i="42"/>
  <c r="I34" i="42" s="1"/>
  <c r="H34" i="40"/>
  <c r="H34" i="43"/>
  <c r="I34" i="43" s="1"/>
  <c r="D35" i="43"/>
  <c r="E35" i="43"/>
  <c r="I31" i="55"/>
  <c r="D36" i="39"/>
  <c r="E36" i="39"/>
  <c r="D46" i="9"/>
  <c r="H45" i="9"/>
  <c r="G45" i="9"/>
  <c r="F53" i="17"/>
  <c r="F54" i="17"/>
  <c r="H34" i="46" l="1"/>
  <c r="D35" i="46"/>
  <c r="I33" i="46"/>
  <c r="F37" i="45"/>
  <c r="D38" i="45" s="1"/>
  <c r="B38" i="45" s="1"/>
  <c r="I43" i="4"/>
  <c r="F35" i="44"/>
  <c r="H35" i="44" s="1"/>
  <c r="M20" i="1"/>
  <c r="I41" i="23"/>
  <c r="I30" i="47"/>
  <c r="H27" i="59"/>
  <c r="I27" i="59" s="1"/>
  <c r="I43" i="5"/>
  <c r="E41" i="27"/>
  <c r="F41" i="27" s="1"/>
  <c r="D41" i="27"/>
  <c r="H40" i="27"/>
  <c r="I40" i="27" s="1"/>
  <c r="F32" i="13"/>
  <c r="D33" i="13" s="1"/>
  <c r="I35" i="38"/>
  <c r="I46" i="10"/>
  <c r="I32" i="55"/>
  <c r="O19" i="1"/>
  <c r="O20" i="1" s="1"/>
  <c r="I39" i="24"/>
  <c r="I37" i="30"/>
  <c r="I38" i="28"/>
  <c r="I45" i="11"/>
  <c r="I38" i="31"/>
  <c r="I34" i="40"/>
  <c r="I43" i="3"/>
  <c r="F56" i="17"/>
  <c r="F57" i="17" s="1"/>
  <c r="G53" i="17"/>
  <c r="G54" i="17"/>
  <c r="T54" i="17" s="1"/>
  <c r="H31" i="47"/>
  <c r="D32" i="47"/>
  <c r="B38" i="30"/>
  <c r="F38" i="30"/>
  <c r="F32" i="48"/>
  <c r="H32" i="48" s="1"/>
  <c r="B32" i="48"/>
  <c r="B44" i="5"/>
  <c r="F44" i="5"/>
  <c r="F35" i="40"/>
  <c r="G35" i="40" s="1"/>
  <c r="B35" i="40"/>
  <c r="F35" i="41"/>
  <c r="H35" i="41" s="1"/>
  <c r="B35" i="41"/>
  <c r="F30" i="57"/>
  <c r="G30" i="57" s="1"/>
  <c r="B30" i="57"/>
  <c r="B46" i="11"/>
  <c r="F46" i="11"/>
  <c r="I42" i="25"/>
  <c r="E45" i="6"/>
  <c r="F45" i="6" s="1"/>
  <c r="B45" i="6"/>
  <c r="E35" i="46"/>
  <c r="F35" i="46" s="1"/>
  <c r="B35" i="46"/>
  <c r="F36" i="39"/>
  <c r="H36" i="39" s="1"/>
  <c r="B36" i="39"/>
  <c r="E39" i="29"/>
  <c r="F39" i="29" s="1"/>
  <c r="B39" i="29"/>
  <c r="I46" i="7"/>
  <c r="E38" i="45"/>
  <c r="F38" i="45" s="1"/>
  <c r="B32" i="13"/>
  <c r="E47" i="10"/>
  <c r="F47" i="10" s="1"/>
  <c r="B47" i="10"/>
  <c r="D34" i="55"/>
  <c r="E34" i="55" s="1"/>
  <c r="F34" i="55" s="1"/>
  <c r="E36" i="38"/>
  <c r="F36" i="38" s="1"/>
  <c r="B36" i="38"/>
  <c r="I31" i="13"/>
  <c r="I45" i="9"/>
  <c r="F35" i="43"/>
  <c r="G35" i="43" s="1"/>
  <c r="B35" i="43"/>
  <c r="I38" i="29"/>
  <c r="B39" i="28"/>
  <c r="F39" i="28"/>
  <c r="F43" i="22"/>
  <c r="B43" i="22"/>
  <c r="B41" i="27"/>
  <c r="B37" i="45"/>
  <c r="G37" i="45"/>
  <c r="E36" i="37"/>
  <c r="F36" i="37" s="1"/>
  <c r="B36" i="37"/>
  <c r="B35" i="44"/>
  <c r="B33" i="55"/>
  <c r="G33" i="55"/>
  <c r="H33" i="55"/>
  <c r="E43" i="25"/>
  <c r="F43" i="25" s="1"/>
  <c r="B43" i="25"/>
  <c r="E46" i="9"/>
  <c r="F46" i="9" s="1"/>
  <c r="B46" i="9"/>
  <c r="B44" i="4"/>
  <c r="F44" i="4"/>
  <c r="B44" i="3"/>
  <c r="F44" i="3"/>
  <c r="F35" i="42"/>
  <c r="G35" i="42" s="1"/>
  <c r="B35" i="42"/>
  <c r="F40" i="24"/>
  <c r="B40" i="24"/>
  <c r="E39" i="31"/>
  <c r="F39" i="31" s="1"/>
  <c r="B39" i="31"/>
  <c r="F47" i="7"/>
  <c r="B47" i="7"/>
  <c r="I42" i="22"/>
  <c r="B31" i="49"/>
  <c r="F31" i="49"/>
  <c r="H31" i="49" s="1"/>
  <c r="D28" i="59"/>
  <c r="E28" i="59"/>
  <c r="B42" i="23"/>
  <c r="F42" i="23"/>
  <c r="D30" i="54"/>
  <c r="E30" i="54"/>
  <c r="B45" i="8"/>
  <c r="F45" i="8"/>
  <c r="I44" i="8"/>
  <c r="G31" i="47"/>
  <c r="F27" i="58"/>
  <c r="G27" i="58" s="1"/>
  <c r="B27" i="58"/>
  <c r="I44" i="6"/>
  <c r="G29" i="54"/>
  <c r="I29" i="54" s="1"/>
  <c r="I34" i="46"/>
  <c r="H37" i="45" l="1"/>
  <c r="E36" i="44"/>
  <c r="D36" i="44"/>
  <c r="G35" i="44"/>
  <c r="G32" i="13"/>
  <c r="H32" i="13"/>
  <c r="I32" i="13" s="1"/>
  <c r="E33" i="13"/>
  <c r="F33" i="13" s="1"/>
  <c r="G33" i="13" s="1"/>
  <c r="I35" i="44"/>
  <c r="I31" i="47"/>
  <c r="G31" i="49"/>
  <c r="I31" i="49" s="1"/>
  <c r="R134" i="1"/>
  <c r="H27" i="58"/>
  <c r="I27" i="58" s="1"/>
  <c r="F36" i="44"/>
  <c r="D37" i="44" s="1"/>
  <c r="I37" i="45"/>
  <c r="H34" i="55"/>
  <c r="D35" i="55"/>
  <c r="H45" i="6"/>
  <c r="D46" i="6"/>
  <c r="G45" i="6"/>
  <c r="E46" i="6"/>
  <c r="G38" i="45"/>
  <c r="D39" i="45"/>
  <c r="H38" i="45"/>
  <c r="H46" i="9"/>
  <c r="G46" i="9"/>
  <c r="D47" i="9"/>
  <c r="E47" i="9"/>
  <c r="G35" i="46"/>
  <c r="D36" i="46"/>
  <c r="E36" i="46"/>
  <c r="H35" i="46"/>
  <c r="G36" i="38"/>
  <c r="D37" i="38"/>
  <c r="H36" i="38"/>
  <c r="G39" i="31"/>
  <c r="H39" i="31"/>
  <c r="D40" i="31"/>
  <c r="E40" i="31"/>
  <c r="H36" i="37"/>
  <c r="D37" i="37"/>
  <c r="H38" i="30"/>
  <c r="G38" i="30"/>
  <c r="D39" i="30"/>
  <c r="G39" i="28"/>
  <c r="H39" i="28"/>
  <c r="D40" i="28"/>
  <c r="E40" i="28"/>
  <c r="E32" i="47"/>
  <c r="F32" i="47" s="1"/>
  <c r="B32" i="47"/>
  <c r="G47" i="7"/>
  <c r="D48" i="7"/>
  <c r="H47" i="7"/>
  <c r="E48" i="7"/>
  <c r="D32" i="49"/>
  <c r="E32" i="49"/>
  <c r="G41" i="27"/>
  <c r="H41" i="27"/>
  <c r="D42" i="27"/>
  <c r="E42" i="27"/>
  <c r="B34" i="55"/>
  <c r="G34" i="55"/>
  <c r="G36" i="39"/>
  <c r="I36" i="39" s="1"/>
  <c r="D37" i="39"/>
  <c r="E37" i="39"/>
  <c r="B33" i="13"/>
  <c r="B30" i="54"/>
  <c r="F30" i="54"/>
  <c r="H30" i="54" s="1"/>
  <c r="D28" i="58"/>
  <c r="E28" i="58"/>
  <c r="H42" i="23"/>
  <c r="G42" i="23"/>
  <c r="D43" i="23"/>
  <c r="G47" i="10"/>
  <c r="H47" i="10"/>
  <c r="D48" i="10"/>
  <c r="E48" i="10"/>
  <c r="G35" i="41"/>
  <c r="I35" i="41" s="1"/>
  <c r="D36" i="41"/>
  <c r="E36" i="41"/>
  <c r="H35" i="40"/>
  <c r="I35" i="40" s="1"/>
  <c r="D36" i="40"/>
  <c r="D41" i="24"/>
  <c r="G40" i="24"/>
  <c r="H40" i="24"/>
  <c r="E41" i="24"/>
  <c r="H35" i="42"/>
  <c r="I35" i="42" s="1"/>
  <c r="D36" i="42"/>
  <c r="G44" i="3"/>
  <c r="D45" i="3"/>
  <c r="H44" i="3"/>
  <c r="H30" i="57"/>
  <c r="I30" i="57" s="1"/>
  <c r="D31" i="57"/>
  <c r="E31" i="57"/>
  <c r="D40" i="29"/>
  <c r="G39" i="29"/>
  <c r="H39" i="29"/>
  <c r="E40" i="29"/>
  <c r="G46" i="11"/>
  <c r="H46" i="11"/>
  <c r="D47" i="11"/>
  <c r="E47" i="11"/>
  <c r="H44" i="5"/>
  <c r="D45" i="5"/>
  <c r="G44" i="5"/>
  <c r="G32" i="48"/>
  <c r="I32" i="48" s="1"/>
  <c r="D33" i="48"/>
  <c r="E33" i="48"/>
  <c r="H35" i="43"/>
  <c r="I35" i="43" s="1"/>
  <c r="D36" i="43"/>
  <c r="E36" i="43"/>
  <c r="F28" i="59"/>
  <c r="G28" i="59" s="1"/>
  <c r="B28" i="59"/>
  <c r="G44" i="4"/>
  <c r="H44" i="4"/>
  <c r="D45" i="4"/>
  <c r="E45" i="4"/>
  <c r="I33" i="55"/>
  <c r="G36" i="37"/>
  <c r="B36" i="44"/>
  <c r="T53" i="17"/>
  <c r="T56" i="17" s="1"/>
  <c r="G56" i="17"/>
  <c r="D46" i="8"/>
  <c r="H45" i="8"/>
  <c r="G45" i="8"/>
  <c r="D44" i="25"/>
  <c r="G43" i="25"/>
  <c r="H43" i="25"/>
  <c r="H43" i="22"/>
  <c r="D44" i="22"/>
  <c r="G43" i="22"/>
  <c r="E44" i="22"/>
  <c r="I36" i="38" l="1"/>
  <c r="I47" i="10"/>
  <c r="H36" i="44"/>
  <c r="E37" i="44"/>
  <c r="G36" i="44"/>
  <c r="I38" i="30"/>
  <c r="I38" i="45"/>
  <c r="I34" i="55"/>
  <c r="G30" i="54"/>
  <c r="I30" i="54" s="1"/>
  <c r="I42" i="23"/>
  <c r="I46" i="9"/>
  <c r="I43" i="25"/>
  <c r="I44" i="4"/>
  <c r="I39" i="28"/>
  <c r="I45" i="8"/>
  <c r="I36" i="37"/>
  <c r="I35" i="46"/>
  <c r="I44" i="3"/>
  <c r="I47" i="7"/>
  <c r="I39" i="31"/>
  <c r="G32" i="47"/>
  <c r="D33" i="47"/>
  <c r="H32" i="47"/>
  <c r="B47" i="11"/>
  <c r="F47" i="11"/>
  <c r="F41" i="24"/>
  <c r="B41" i="24"/>
  <c r="B37" i="39"/>
  <c r="F37" i="39"/>
  <c r="G37" i="39" s="1"/>
  <c r="F48" i="7"/>
  <c r="B48" i="7"/>
  <c r="E39" i="30"/>
  <c r="F39" i="30" s="1"/>
  <c r="B39" i="30"/>
  <c r="E37" i="38"/>
  <c r="F37" i="38" s="1"/>
  <c r="G37" i="38" s="1"/>
  <c r="B37" i="38"/>
  <c r="B47" i="9"/>
  <c r="F47" i="9"/>
  <c r="F45" i="4"/>
  <c r="B45" i="4"/>
  <c r="B36" i="43"/>
  <c r="F36" i="43"/>
  <c r="H36" i="43" s="1"/>
  <c r="I46" i="11"/>
  <c r="E45" i="3"/>
  <c r="F45" i="3" s="1"/>
  <c r="B45" i="3"/>
  <c r="B32" i="49"/>
  <c r="F32" i="49"/>
  <c r="H32" i="49" s="1"/>
  <c r="B33" i="48"/>
  <c r="F33" i="48"/>
  <c r="E37" i="37"/>
  <c r="F37" i="37" s="1"/>
  <c r="G37" i="37" s="1"/>
  <c r="B37" i="37"/>
  <c r="B44" i="22"/>
  <c r="F44" i="22"/>
  <c r="D29" i="59"/>
  <c r="E29" i="59"/>
  <c r="E45" i="5"/>
  <c r="F45" i="5" s="1"/>
  <c r="B45" i="5"/>
  <c r="E36" i="40"/>
  <c r="F36" i="40" s="1"/>
  <c r="H36" i="40" s="1"/>
  <c r="B36" i="40"/>
  <c r="E43" i="23"/>
  <c r="F43" i="23" s="1"/>
  <c r="B43" i="23"/>
  <c r="B40" i="31"/>
  <c r="F40" i="31"/>
  <c r="I43" i="22"/>
  <c r="H28" i="59"/>
  <c r="I28" i="59" s="1"/>
  <c r="I44" i="5"/>
  <c r="B31" i="57"/>
  <c r="F31" i="57"/>
  <c r="G31" i="57" s="1"/>
  <c r="E36" i="42"/>
  <c r="F36" i="42" s="1"/>
  <c r="H36" i="42" s="1"/>
  <c r="B36" i="42"/>
  <c r="B46" i="6"/>
  <c r="F46" i="6"/>
  <c r="E44" i="25"/>
  <c r="F44" i="25" s="1"/>
  <c r="B44" i="25"/>
  <c r="I36" i="44"/>
  <c r="I39" i="29"/>
  <c r="F48" i="10"/>
  <c r="B48" i="10"/>
  <c r="D31" i="54"/>
  <c r="E31" i="54"/>
  <c r="H33" i="13"/>
  <c r="I33" i="13" s="1"/>
  <c r="D34" i="13"/>
  <c r="E34" i="13"/>
  <c r="F40" i="28"/>
  <c r="B40" i="28"/>
  <c r="F36" i="46"/>
  <c r="G36" i="46" s="1"/>
  <c r="I45" i="6"/>
  <c r="F37" i="44"/>
  <c r="H37" i="44" s="1"/>
  <c r="F36" i="41"/>
  <c r="H36" i="41" s="1"/>
  <c r="B36" i="41"/>
  <c r="F42" i="27"/>
  <c r="B42" i="27"/>
  <c r="B36" i="46"/>
  <c r="E39" i="45"/>
  <c r="F39" i="45" s="1"/>
  <c r="B39" i="45"/>
  <c r="E35" i="55"/>
  <c r="F35" i="55" s="1"/>
  <c r="B35" i="55"/>
  <c r="E46" i="8"/>
  <c r="F46" i="8" s="1"/>
  <c r="B46" i="8"/>
  <c r="B37" i="44"/>
  <c r="B40" i="29"/>
  <c r="F40" i="29"/>
  <c r="I40" i="24"/>
  <c r="F28" i="58"/>
  <c r="G28" i="58" s="1"/>
  <c r="B28" i="58"/>
  <c r="I41" i="27"/>
  <c r="H31" i="57" l="1"/>
  <c r="I32" i="47"/>
  <c r="G37" i="44"/>
  <c r="D40" i="45"/>
  <c r="E40" i="45"/>
  <c r="H39" i="45"/>
  <c r="G39" i="45"/>
  <c r="G43" i="23"/>
  <c r="D44" i="23"/>
  <c r="H43" i="23"/>
  <c r="H41" i="24"/>
  <c r="G41" i="24"/>
  <c r="D42" i="24"/>
  <c r="E42" i="24"/>
  <c r="D37" i="46"/>
  <c r="E37" i="46"/>
  <c r="I31" i="57"/>
  <c r="G36" i="43"/>
  <c r="I36" i="43" s="1"/>
  <c r="D37" i="43"/>
  <c r="E37" i="43"/>
  <c r="H39" i="30"/>
  <c r="D40" i="30"/>
  <c r="G39" i="30"/>
  <c r="D43" i="27"/>
  <c r="B43" i="27" s="1"/>
  <c r="G42" i="27"/>
  <c r="H42" i="27"/>
  <c r="E43" i="27"/>
  <c r="G32" i="49"/>
  <c r="I32" i="49" s="1"/>
  <c r="D33" i="49"/>
  <c r="E33" i="49"/>
  <c r="G47" i="9"/>
  <c r="H47" i="9"/>
  <c r="D48" i="9"/>
  <c r="E48" i="9"/>
  <c r="D49" i="7"/>
  <c r="H48" i="7"/>
  <c r="G48" i="7"/>
  <c r="H37" i="39"/>
  <c r="I37" i="39" s="1"/>
  <c r="D38" i="39"/>
  <c r="E38" i="39"/>
  <c r="D48" i="11"/>
  <c r="G47" i="11"/>
  <c r="H47" i="11"/>
  <c r="D41" i="28"/>
  <c r="G40" i="28"/>
  <c r="H40" i="28"/>
  <c r="E41" i="28"/>
  <c r="F34" i="13"/>
  <c r="G34" i="13" s="1"/>
  <c r="D32" i="57"/>
  <c r="E32" i="57"/>
  <c r="H37" i="37"/>
  <c r="I37" i="37" s="1"/>
  <c r="D38" i="37"/>
  <c r="D47" i="8"/>
  <c r="H46" i="8"/>
  <c r="G46" i="8"/>
  <c r="E47" i="8"/>
  <c r="B34" i="13"/>
  <c r="D45" i="25"/>
  <c r="H44" i="25"/>
  <c r="G44" i="25"/>
  <c r="E45" i="25"/>
  <c r="G36" i="42"/>
  <c r="I36" i="42" s="1"/>
  <c r="D37" i="42"/>
  <c r="E37" i="42"/>
  <c r="G45" i="5"/>
  <c r="D46" i="5"/>
  <c r="H45" i="5"/>
  <c r="D46" i="3"/>
  <c r="H45" i="3"/>
  <c r="G45" i="3"/>
  <c r="E46" i="3"/>
  <c r="H35" i="55"/>
  <c r="D36" i="55"/>
  <c r="D45" i="22"/>
  <c r="G44" i="22"/>
  <c r="H44" i="22"/>
  <c r="E45" i="22"/>
  <c r="I37" i="44"/>
  <c r="D38" i="44"/>
  <c r="E38" i="44"/>
  <c r="F31" i="54"/>
  <c r="G31" i="54" s="1"/>
  <c r="B31" i="54"/>
  <c r="H37" i="38"/>
  <c r="I37" i="38" s="1"/>
  <c r="D38" i="38"/>
  <c r="E38" i="38"/>
  <c r="G33" i="48"/>
  <c r="D34" i="48"/>
  <c r="G35" i="55"/>
  <c r="I35" i="55" s="1"/>
  <c r="G36" i="41"/>
  <c r="I36" i="41" s="1"/>
  <c r="D37" i="41"/>
  <c r="E37" i="41"/>
  <c r="D41" i="31"/>
  <c r="G40" i="31"/>
  <c r="H40" i="31"/>
  <c r="G36" i="40"/>
  <c r="I36" i="40" s="1"/>
  <c r="D37" i="40"/>
  <c r="E37" i="40"/>
  <c r="E33" i="47"/>
  <c r="F33" i="47" s="1"/>
  <c r="H33" i="47" s="1"/>
  <c r="B33" i="47"/>
  <c r="G46" i="6"/>
  <c r="H46" i="6"/>
  <c r="D47" i="6"/>
  <c r="H28" i="58"/>
  <c r="I28" i="58" s="1"/>
  <c r="D29" i="58"/>
  <c r="E29" i="58"/>
  <c r="H40" i="29"/>
  <c r="D41" i="29"/>
  <c r="G40" i="29"/>
  <c r="E41" i="29"/>
  <c r="H36" i="46"/>
  <c r="I36" i="46" s="1"/>
  <c r="H48" i="10"/>
  <c r="D49" i="10"/>
  <c r="G48" i="10"/>
  <c r="E49" i="10"/>
  <c r="F29" i="59"/>
  <c r="G29" i="59" s="1"/>
  <c r="B29" i="59"/>
  <c r="H33" i="48"/>
  <c r="D46" i="4"/>
  <c r="G45" i="4"/>
  <c r="H45" i="4"/>
  <c r="I33" i="48" l="1"/>
  <c r="I44" i="22"/>
  <c r="I48" i="10"/>
  <c r="I46" i="6"/>
  <c r="F37" i="46"/>
  <c r="D38" i="46" s="1"/>
  <c r="B38" i="46" s="1"/>
  <c r="F38" i="44"/>
  <c r="D39" i="44" s="1"/>
  <c r="I46" i="8"/>
  <c r="I43" i="23"/>
  <c r="F29" i="58"/>
  <c r="I47" i="9"/>
  <c r="I40" i="31"/>
  <c r="I39" i="30"/>
  <c r="I39" i="45"/>
  <c r="I40" i="28"/>
  <c r="F49" i="10"/>
  <c r="B49" i="10"/>
  <c r="B41" i="28"/>
  <c r="F41" i="28"/>
  <c r="E49" i="7"/>
  <c r="F49" i="7" s="1"/>
  <c r="B49" i="7"/>
  <c r="E40" i="30"/>
  <c r="F40" i="30" s="1"/>
  <c r="B40" i="30"/>
  <c r="E46" i="4"/>
  <c r="F46" i="4" s="1"/>
  <c r="B46" i="4"/>
  <c r="D30" i="59"/>
  <c r="E30" i="59"/>
  <c r="B38" i="38"/>
  <c r="F38" i="38"/>
  <c r="G38" i="38" s="1"/>
  <c r="I44" i="25"/>
  <c r="B47" i="8"/>
  <c r="F47" i="8"/>
  <c r="E48" i="11"/>
  <c r="F48" i="11" s="1"/>
  <c r="B48" i="11"/>
  <c r="B37" i="46"/>
  <c r="G37" i="46"/>
  <c r="H37" i="46"/>
  <c r="I41" i="24"/>
  <c r="F40" i="45"/>
  <c r="G40" i="45" s="1"/>
  <c r="B37" i="43"/>
  <c r="F37" i="43"/>
  <c r="H37" i="43" s="1"/>
  <c r="E44" i="23"/>
  <c r="F44" i="23" s="1"/>
  <c r="B44" i="23"/>
  <c r="B41" i="29"/>
  <c r="F41" i="29"/>
  <c r="G33" i="47"/>
  <c r="I33" i="47" s="1"/>
  <c r="D34" i="47"/>
  <c r="E47" i="6"/>
  <c r="F47" i="6" s="1"/>
  <c r="B47" i="6"/>
  <c r="E41" i="31"/>
  <c r="F41" i="31" s="1"/>
  <c r="B41" i="31"/>
  <c r="B38" i="44"/>
  <c r="I45" i="3"/>
  <c r="B38" i="39"/>
  <c r="F38" i="39"/>
  <c r="G38" i="39" s="1"/>
  <c r="F33" i="49"/>
  <c r="G33" i="49" s="1"/>
  <c r="B33" i="49"/>
  <c r="D30" i="58"/>
  <c r="E30" i="58"/>
  <c r="B37" i="41"/>
  <c r="F37" i="41"/>
  <c r="G37" i="41" s="1"/>
  <c r="B46" i="3"/>
  <c r="F46" i="3"/>
  <c r="B37" i="42"/>
  <c r="F37" i="42"/>
  <c r="G37" i="42" s="1"/>
  <c r="E38" i="37"/>
  <c r="F38" i="37" s="1"/>
  <c r="B38" i="37"/>
  <c r="D32" i="54"/>
  <c r="E32" i="54"/>
  <c r="B45" i="22"/>
  <c r="F45" i="22"/>
  <c r="F45" i="25"/>
  <c r="B45" i="25"/>
  <c r="F48" i="9"/>
  <c r="B48" i="9"/>
  <c r="B40" i="45"/>
  <c r="E36" i="55"/>
  <c r="F36" i="55" s="1"/>
  <c r="B36" i="55"/>
  <c r="I40" i="29"/>
  <c r="B37" i="40"/>
  <c r="F37" i="40"/>
  <c r="G37" i="40" s="1"/>
  <c r="H29" i="59"/>
  <c r="I29" i="59" s="1"/>
  <c r="B29" i="58"/>
  <c r="H29" i="58"/>
  <c r="G29" i="58"/>
  <c r="E34" i="48"/>
  <c r="F34" i="48" s="1"/>
  <c r="G34" i="48" s="1"/>
  <c r="B34" i="48"/>
  <c r="I45" i="5"/>
  <c r="F32" i="57"/>
  <c r="H32" i="57" s="1"/>
  <c r="H34" i="13"/>
  <c r="I34" i="13" s="1"/>
  <c r="D35" i="13"/>
  <c r="E35" i="13"/>
  <c r="F43" i="27"/>
  <c r="I45" i="4"/>
  <c r="H31" i="54"/>
  <c r="I31" i="54" s="1"/>
  <c r="E46" i="5"/>
  <c r="F46" i="5" s="1"/>
  <c r="B46" i="5"/>
  <c r="B32" i="57"/>
  <c r="I47" i="11"/>
  <c r="I48" i="7"/>
  <c r="I42" i="27"/>
  <c r="B42" i="24"/>
  <c r="F42" i="24"/>
  <c r="H38" i="44" l="1"/>
  <c r="E39" i="44"/>
  <c r="F39" i="44" s="1"/>
  <c r="G38" i="44"/>
  <c r="E38" i="46"/>
  <c r="F38" i="46" s="1"/>
  <c r="D39" i="46" s="1"/>
  <c r="H40" i="45"/>
  <c r="I37" i="46"/>
  <c r="G38" i="37"/>
  <c r="H38" i="37"/>
  <c r="I38" i="37" s="1"/>
  <c r="H33" i="49"/>
  <c r="I33" i="49" s="1"/>
  <c r="F35" i="13"/>
  <c r="G35" i="13" s="1"/>
  <c r="H38" i="46"/>
  <c r="G38" i="46"/>
  <c r="D41" i="30"/>
  <c r="H40" i="30"/>
  <c r="G40" i="30"/>
  <c r="H36" i="55"/>
  <c r="D37" i="55"/>
  <c r="G36" i="55"/>
  <c r="D49" i="11"/>
  <c r="H48" i="11"/>
  <c r="G48" i="11"/>
  <c r="G49" i="7"/>
  <c r="D50" i="7"/>
  <c r="H49" i="7"/>
  <c r="G46" i="4"/>
  <c r="H46" i="4"/>
  <c r="D47" i="4"/>
  <c r="B35" i="13"/>
  <c r="D48" i="6"/>
  <c r="G47" i="6"/>
  <c r="H47" i="6"/>
  <c r="H43" i="27"/>
  <c r="D44" i="27"/>
  <c r="G43" i="27"/>
  <c r="D47" i="3"/>
  <c r="G46" i="3"/>
  <c r="H46" i="3"/>
  <c r="I46" i="3" s="1"/>
  <c r="E47" i="3"/>
  <c r="F32" i="54"/>
  <c r="B32" i="54"/>
  <c r="D42" i="28"/>
  <c r="G41" i="28"/>
  <c r="H41" i="28"/>
  <c r="D47" i="5"/>
  <c r="H46" i="5"/>
  <c r="G46" i="5"/>
  <c r="G32" i="57"/>
  <c r="I32" i="57" s="1"/>
  <c r="D33" i="57"/>
  <c r="E33" i="57"/>
  <c r="H34" i="48"/>
  <c r="I34" i="48" s="1"/>
  <c r="D35" i="48"/>
  <c r="E35" i="48"/>
  <c r="H37" i="40"/>
  <c r="I37" i="40" s="1"/>
  <c r="D38" i="40"/>
  <c r="E38" i="40"/>
  <c r="D39" i="37"/>
  <c r="E39" i="37"/>
  <c r="D34" i="49"/>
  <c r="E34" i="49"/>
  <c r="E34" i="47"/>
  <c r="F34" i="47" s="1"/>
  <c r="B34" i="47"/>
  <c r="I29" i="58"/>
  <c r="G48" i="9"/>
  <c r="H48" i="9"/>
  <c r="D49" i="9"/>
  <c r="E49" i="9"/>
  <c r="F30" i="58"/>
  <c r="B30" i="58"/>
  <c r="G37" i="43"/>
  <c r="I37" i="43" s="1"/>
  <c r="D38" i="43"/>
  <c r="E38" i="43"/>
  <c r="H42" i="24"/>
  <c r="G42" i="24"/>
  <c r="D43" i="24"/>
  <c r="E43" i="24"/>
  <c r="G41" i="31"/>
  <c r="D42" i="31"/>
  <c r="H41" i="31"/>
  <c r="G41" i="29"/>
  <c r="D42" i="29"/>
  <c r="H41" i="29"/>
  <c r="H47" i="8"/>
  <c r="G47" i="8"/>
  <c r="D48" i="8"/>
  <c r="E48" i="8"/>
  <c r="H49" i="10"/>
  <c r="D50" i="10"/>
  <c r="G49" i="10"/>
  <c r="E50" i="10"/>
  <c r="G45" i="25"/>
  <c r="H45" i="25"/>
  <c r="D46" i="25"/>
  <c r="E46" i="25"/>
  <c r="H37" i="42"/>
  <c r="I37" i="42" s="1"/>
  <c r="D38" i="42"/>
  <c r="E38" i="42"/>
  <c r="B39" i="44"/>
  <c r="H38" i="39"/>
  <c r="I38" i="39" s="1"/>
  <c r="D39" i="39"/>
  <c r="E39" i="39"/>
  <c r="H44" i="23"/>
  <c r="D45" i="23"/>
  <c r="G44" i="23"/>
  <c r="D41" i="45"/>
  <c r="E41" i="45"/>
  <c r="I40" i="45"/>
  <c r="D46" i="22"/>
  <c r="G45" i="22"/>
  <c r="H45" i="22"/>
  <c r="E46" i="22"/>
  <c r="H37" i="41"/>
  <c r="I37" i="41" s="1"/>
  <c r="D38" i="41"/>
  <c r="I38" i="44"/>
  <c r="H38" i="38"/>
  <c r="I38" i="38" s="1"/>
  <c r="D39" i="38"/>
  <c r="E39" i="38"/>
  <c r="F30" i="59"/>
  <c r="G30" i="59" s="1"/>
  <c r="B30" i="59"/>
  <c r="D40" i="44" l="1"/>
  <c r="G39" i="44"/>
  <c r="E40" i="44"/>
  <c r="H39" i="44"/>
  <c r="D36" i="13"/>
  <c r="E36" i="13"/>
  <c r="H35" i="13"/>
  <c r="I35" i="13" s="1"/>
  <c r="I38" i="46"/>
  <c r="F34" i="49"/>
  <c r="I45" i="25"/>
  <c r="I46" i="5"/>
  <c r="I43" i="27"/>
  <c r="I41" i="29"/>
  <c r="I45" i="22"/>
  <c r="I41" i="31"/>
  <c r="I47" i="8"/>
  <c r="I36" i="55"/>
  <c r="E50" i="7"/>
  <c r="F50" i="7" s="1"/>
  <c r="B50" i="7"/>
  <c r="E45" i="23"/>
  <c r="F45" i="23" s="1"/>
  <c r="B45" i="23"/>
  <c r="H34" i="47"/>
  <c r="D35" i="47"/>
  <c r="F39" i="37"/>
  <c r="G39" i="37" s="1"/>
  <c r="B39" i="37"/>
  <c r="F38" i="40"/>
  <c r="B38" i="40"/>
  <c r="E42" i="28"/>
  <c r="F42" i="28" s="1"/>
  <c r="B42" i="28"/>
  <c r="I47" i="6"/>
  <c r="I40" i="30"/>
  <c r="B39" i="38"/>
  <c r="F39" i="38"/>
  <c r="H39" i="38" s="1"/>
  <c r="E42" i="31"/>
  <c r="F42" i="31" s="1"/>
  <c r="B42" i="31"/>
  <c r="D31" i="58"/>
  <c r="E31" i="58"/>
  <c r="I44" i="23"/>
  <c r="F38" i="42"/>
  <c r="H38" i="42" s="1"/>
  <c r="B38" i="42"/>
  <c r="E41" i="30"/>
  <c r="F41" i="30" s="1"/>
  <c r="B41" i="30"/>
  <c r="F40" i="44"/>
  <c r="G40" i="44" s="1"/>
  <c r="B43" i="24"/>
  <c r="F43" i="24"/>
  <c r="E48" i="6"/>
  <c r="F48" i="6" s="1"/>
  <c r="B48" i="6"/>
  <c r="I48" i="11"/>
  <c r="B41" i="45"/>
  <c r="F46" i="25"/>
  <c r="B46" i="25"/>
  <c r="F39" i="39"/>
  <c r="B39" i="39"/>
  <c r="B48" i="8"/>
  <c r="F48" i="8"/>
  <c r="B40" i="44"/>
  <c r="B35" i="48"/>
  <c r="F35" i="48"/>
  <c r="G35" i="48" s="1"/>
  <c r="E47" i="5"/>
  <c r="F47" i="5" s="1"/>
  <c r="B47" i="5"/>
  <c r="E47" i="4"/>
  <c r="F47" i="4" s="1"/>
  <c r="B47" i="4"/>
  <c r="E49" i="11"/>
  <c r="F49" i="11" s="1"/>
  <c r="B49" i="11"/>
  <c r="B36" i="13"/>
  <c r="G32" i="54"/>
  <c r="D33" i="54"/>
  <c r="E33" i="54"/>
  <c r="E38" i="41"/>
  <c r="F38" i="41" s="1"/>
  <c r="B38" i="41"/>
  <c r="B50" i="10"/>
  <c r="F50" i="10"/>
  <c r="E42" i="29"/>
  <c r="F42" i="29" s="1"/>
  <c r="B42" i="29"/>
  <c r="I42" i="24"/>
  <c r="G30" i="58"/>
  <c r="F47" i="3"/>
  <c r="B47" i="3"/>
  <c r="I46" i="4"/>
  <c r="H30" i="59"/>
  <c r="I30" i="59" s="1"/>
  <c r="D31" i="59"/>
  <c r="E31" i="59"/>
  <c r="B46" i="22"/>
  <c r="F46" i="22"/>
  <c r="F41" i="45"/>
  <c r="I39" i="44"/>
  <c r="I49" i="10"/>
  <c r="B38" i="43"/>
  <c r="F38" i="43"/>
  <c r="G38" i="43" s="1"/>
  <c r="H30" i="58"/>
  <c r="B49" i="9"/>
  <c r="F49" i="9"/>
  <c r="D35" i="49"/>
  <c r="E35" i="49"/>
  <c r="H32" i="54"/>
  <c r="E37" i="55"/>
  <c r="F37" i="55" s="1"/>
  <c r="B37" i="55"/>
  <c r="E39" i="46"/>
  <c r="F39" i="46" s="1"/>
  <c r="B39" i="46"/>
  <c r="F36" i="13"/>
  <c r="H36" i="13" s="1"/>
  <c r="I48" i="9"/>
  <c r="G34" i="47"/>
  <c r="B34" i="49"/>
  <c r="G34" i="49"/>
  <c r="H34" i="49"/>
  <c r="F33" i="57"/>
  <c r="H33" i="57" s="1"/>
  <c r="B33" i="57"/>
  <c r="I41" i="28"/>
  <c r="E44" i="27"/>
  <c r="F44" i="27" s="1"/>
  <c r="B44" i="27"/>
  <c r="I49" i="7"/>
  <c r="I34" i="47" l="1"/>
  <c r="F31" i="58"/>
  <c r="I34" i="49"/>
  <c r="I30" i="58"/>
  <c r="H47" i="5"/>
  <c r="D48" i="5"/>
  <c r="G47" i="5"/>
  <c r="H37" i="55"/>
  <c r="D38" i="55"/>
  <c r="G37" i="55"/>
  <c r="D46" i="23"/>
  <c r="H45" i="23"/>
  <c r="G45" i="23"/>
  <c r="E46" i="23"/>
  <c r="D50" i="11"/>
  <c r="H49" i="11"/>
  <c r="G49" i="11"/>
  <c r="E50" i="11"/>
  <c r="D40" i="39"/>
  <c r="E40" i="39"/>
  <c r="G36" i="13"/>
  <c r="I36" i="13" s="1"/>
  <c r="H47" i="4"/>
  <c r="D48" i="4"/>
  <c r="G47" i="4"/>
  <c r="E48" i="4"/>
  <c r="G39" i="38"/>
  <c r="D40" i="38"/>
  <c r="E40" i="38"/>
  <c r="H42" i="28"/>
  <c r="D43" i="28"/>
  <c r="G42" i="28"/>
  <c r="G38" i="40"/>
  <c r="D39" i="40"/>
  <c r="E39" i="40"/>
  <c r="G47" i="3"/>
  <c r="H47" i="3"/>
  <c r="D48" i="3"/>
  <c r="E48" i="3"/>
  <c r="D42" i="45"/>
  <c r="E42" i="45"/>
  <c r="H42" i="29"/>
  <c r="D43" i="29"/>
  <c r="G42" i="29"/>
  <c r="E43" i="29"/>
  <c r="G41" i="45"/>
  <c r="H40" i="44"/>
  <c r="I40" i="44" s="1"/>
  <c r="D41" i="44"/>
  <c r="H38" i="41"/>
  <c r="D39" i="41"/>
  <c r="E39" i="41"/>
  <c r="H38" i="43"/>
  <c r="I38" i="43" s="1"/>
  <c r="D39" i="43"/>
  <c r="H43" i="24"/>
  <c r="D44" i="24"/>
  <c r="G43" i="24"/>
  <c r="E44" i="24"/>
  <c r="H42" i="31"/>
  <c r="G42" i="31"/>
  <c r="D43" i="31"/>
  <c r="D45" i="27"/>
  <c r="G44" i="27"/>
  <c r="H44" i="27"/>
  <c r="E45" i="27"/>
  <c r="G33" i="57"/>
  <c r="I33" i="57" s="1"/>
  <c r="F31" i="59"/>
  <c r="B31" i="59"/>
  <c r="G50" i="10"/>
  <c r="D51" i="10"/>
  <c r="H50" i="10"/>
  <c r="E51" i="10"/>
  <c r="H41" i="45"/>
  <c r="H39" i="46"/>
  <c r="D40" i="46"/>
  <c r="E40" i="46"/>
  <c r="D37" i="13"/>
  <c r="E37" i="13"/>
  <c r="I39" i="38"/>
  <c r="G50" i="7"/>
  <c r="H50" i="7"/>
  <c r="D51" i="7"/>
  <c r="H49" i="9"/>
  <c r="G49" i="9"/>
  <c r="D50" i="9"/>
  <c r="H39" i="37"/>
  <c r="I39" i="37" s="1"/>
  <c r="D40" i="37"/>
  <c r="E40" i="37"/>
  <c r="H35" i="48"/>
  <c r="I35" i="48" s="1"/>
  <c r="D36" i="48"/>
  <c r="G39" i="46"/>
  <c r="B35" i="49"/>
  <c r="F35" i="49"/>
  <c r="G35" i="49" s="1"/>
  <c r="G38" i="41"/>
  <c r="H39" i="39"/>
  <c r="D47" i="25"/>
  <c r="H46" i="25"/>
  <c r="G46" i="25"/>
  <c r="E47" i="25"/>
  <c r="G46" i="22"/>
  <c r="D47" i="22"/>
  <c r="H46" i="22"/>
  <c r="G48" i="6"/>
  <c r="D49" i="6"/>
  <c r="H48" i="6"/>
  <c r="D42" i="30"/>
  <c r="H41" i="30"/>
  <c r="G41" i="30"/>
  <c r="E42" i="30"/>
  <c r="D34" i="57"/>
  <c r="E34" i="57"/>
  <c r="I32" i="54"/>
  <c r="B33" i="54"/>
  <c r="F33" i="54"/>
  <c r="H33" i="54" s="1"/>
  <c r="G48" i="8"/>
  <c r="D49" i="8"/>
  <c r="H48" i="8"/>
  <c r="G39" i="39"/>
  <c r="D32" i="58"/>
  <c r="E32" i="58"/>
  <c r="E35" i="47"/>
  <c r="F35" i="47" s="1"/>
  <c r="B35" i="47"/>
  <c r="G38" i="42"/>
  <c r="I38" i="42" s="1"/>
  <c r="D39" i="42"/>
  <c r="B31" i="58"/>
  <c r="H31" i="58"/>
  <c r="G31" i="58"/>
  <c r="H38" i="40"/>
  <c r="I48" i="6" l="1"/>
  <c r="I41" i="45"/>
  <c r="I44" i="27"/>
  <c r="F37" i="13"/>
  <c r="D38" i="13" s="1"/>
  <c r="I48" i="8"/>
  <c r="I39" i="39"/>
  <c r="I38" i="41"/>
  <c r="I49" i="9"/>
  <c r="I31" i="58"/>
  <c r="I41" i="30"/>
  <c r="F34" i="57"/>
  <c r="H34" i="57" s="1"/>
  <c r="I37" i="55"/>
  <c r="I50" i="7"/>
  <c r="I47" i="4"/>
  <c r="I46" i="22"/>
  <c r="I45" i="23"/>
  <c r="I46" i="25"/>
  <c r="I47" i="3"/>
  <c r="H31" i="59"/>
  <c r="D32" i="59"/>
  <c r="E32" i="59"/>
  <c r="E39" i="42"/>
  <c r="F39" i="42" s="1"/>
  <c r="D40" i="42" s="1"/>
  <c r="B39" i="42"/>
  <c r="I42" i="31"/>
  <c r="B39" i="41"/>
  <c r="F39" i="41"/>
  <c r="H39" i="41" s="1"/>
  <c r="H35" i="47"/>
  <c r="D36" i="47"/>
  <c r="B32" i="58"/>
  <c r="F32" i="58"/>
  <c r="G32" i="58" s="1"/>
  <c r="B50" i="11"/>
  <c r="F50" i="11"/>
  <c r="G33" i="54"/>
  <c r="I33" i="54" s="1"/>
  <c r="I39" i="46"/>
  <c r="F43" i="29"/>
  <c r="B43" i="29"/>
  <c r="E43" i="28"/>
  <c r="F43" i="28" s="1"/>
  <c r="B43" i="28"/>
  <c r="E35" i="57"/>
  <c r="B40" i="37"/>
  <c r="F40" i="37"/>
  <c r="D41" i="37" s="1"/>
  <c r="B34" i="57"/>
  <c r="E36" i="48"/>
  <c r="F36" i="48" s="1"/>
  <c r="B36" i="48"/>
  <c r="E38" i="13"/>
  <c r="I42" i="29"/>
  <c r="F48" i="3"/>
  <c r="B48" i="3"/>
  <c r="I42" i="28"/>
  <c r="B48" i="4"/>
  <c r="F48" i="4"/>
  <c r="E38" i="55"/>
  <c r="F38" i="55" s="1"/>
  <c r="B38" i="55"/>
  <c r="B37" i="13"/>
  <c r="H37" i="13"/>
  <c r="G37" i="13"/>
  <c r="F40" i="46"/>
  <c r="F44" i="24"/>
  <c r="B44" i="24"/>
  <c r="F42" i="45"/>
  <c r="D43" i="45" s="1"/>
  <c r="B51" i="10"/>
  <c r="F51" i="10"/>
  <c r="G35" i="47"/>
  <c r="D34" i="54"/>
  <c r="E34" i="54"/>
  <c r="I38" i="40"/>
  <c r="B42" i="30"/>
  <c r="F42" i="30"/>
  <c r="F47" i="25"/>
  <c r="B47" i="25"/>
  <c r="H35" i="49"/>
  <c r="I35" i="49" s="1"/>
  <c r="D36" i="49"/>
  <c r="E36" i="49"/>
  <c r="B40" i="46"/>
  <c r="F45" i="27"/>
  <c r="B45" i="27"/>
  <c r="I43" i="24"/>
  <c r="E39" i="43"/>
  <c r="F39" i="43" s="1"/>
  <c r="H39" i="43" s="1"/>
  <c r="B39" i="43"/>
  <c r="B42" i="45"/>
  <c r="F40" i="38"/>
  <c r="G40" i="38" s="1"/>
  <c r="B40" i="38"/>
  <c r="F40" i="39"/>
  <c r="H40" i="39" s="1"/>
  <c r="B40" i="39"/>
  <c r="G31" i="59"/>
  <c r="E48" i="5"/>
  <c r="F48" i="5" s="1"/>
  <c r="B48" i="5"/>
  <c r="E50" i="9"/>
  <c r="F50" i="9" s="1"/>
  <c r="B50" i="9"/>
  <c r="E49" i="8"/>
  <c r="F49" i="8" s="1"/>
  <c r="B49" i="8"/>
  <c r="E49" i="6"/>
  <c r="F49" i="6" s="1"/>
  <c r="B49" i="6"/>
  <c r="E47" i="22"/>
  <c r="F47" i="22" s="1"/>
  <c r="B47" i="22"/>
  <c r="E51" i="7"/>
  <c r="F51" i="7" s="1"/>
  <c r="B51" i="7"/>
  <c r="I50" i="10"/>
  <c r="E43" i="31"/>
  <c r="F43" i="31" s="1"/>
  <c r="B43" i="31"/>
  <c r="E41" i="44"/>
  <c r="F41" i="44" s="1"/>
  <c r="B41" i="44"/>
  <c r="F39" i="40"/>
  <c r="H39" i="40" s="1"/>
  <c r="B39" i="40"/>
  <c r="I49" i="11"/>
  <c r="F46" i="23"/>
  <c r="B46" i="23"/>
  <c r="I47" i="5"/>
  <c r="F36" i="49" l="1"/>
  <c r="H39" i="42"/>
  <c r="G42" i="45"/>
  <c r="G34" i="57"/>
  <c r="D35" i="57"/>
  <c r="F35" i="57" s="1"/>
  <c r="H40" i="37"/>
  <c r="G40" i="37"/>
  <c r="G36" i="48"/>
  <c r="D37" i="48"/>
  <c r="E37" i="48"/>
  <c r="H36" i="48"/>
  <c r="G51" i="7"/>
  <c r="D52" i="7"/>
  <c r="H51" i="7"/>
  <c r="H48" i="5"/>
  <c r="D49" i="5"/>
  <c r="G48" i="5"/>
  <c r="E49" i="5"/>
  <c r="H49" i="6"/>
  <c r="D50" i="6"/>
  <c r="G49" i="6"/>
  <c r="D49" i="4"/>
  <c r="H48" i="4"/>
  <c r="G48" i="4"/>
  <c r="E49" i="4"/>
  <c r="D51" i="11"/>
  <c r="G50" i="11"/>
  <c r="H50" i="11"/>
  <c r="E40" i="42"/>
  <c r="F40" i="42" s="1"/>
  <c r="B40" i="42"/>
  <c r="F32" i="59"/>
  <c r="H32" i="59" s="1"/>
  <c r="B32" i="59"/>
  <c r="B38" i="13"/>
  <c r="D48" i="25"/>
  <c r="G47" i="25"/>
  <c r="H47" i="25"/>
  <c r="E43" i="45"/>
  <c r="F43" i="45" s="1"/>
  <c r="G43" i="45" s="1"/>
  <c r="B43" i="45"/>
  <c r="I34" i="57"/>
  <c r="I31" i="59"/>
  <c r="H48" i="3"/>
  <c r="G48" i="3"/>
  <c r="D49" i="3"/>
  <c r="E49" i="3"/>
  <c r="D41" i="46"/>
  <c r="E41" i="46"/>
  <c r="G49" i="8"/>
  <c r="H49" i="8"/>
  <c r="D50" i="8"/>
  <c r="D47" i="23"/>
  <c r="G46" i="23"/>
  <c r="H46" i="23"/>
  <c r="H42" i="45"/>
  <c r="I42" i="45" s="1"/>
  <c r="I37" i="13"/>
  <c r="B35" i="57"/>
  <c r="H43" i="28"/>
  <c r="G43" i="28"/>
  <c r="D44" i="28"/>
  <c r="E44" i="28"/>
  <c r="H43" i="29"/>
  <c r="G43" i="29"/>
  <c r="D44" i="29"/>
  <c r="E44" i="29"/>
  <c r="D44" i="31"/>
  <c r="G43" i="31"/>
  <c r="H43" i="31"/>
  <c r="G41" i="44"/>
  <c r="D42" i="44"/>
  <c r="E42" i="44"/>
  <c r="D51" i="9"/>
  <c r="H50" i="9"/>
  <c r="G50" i="9"/>
  <c r="E51" i="9"/>
  <c r="G39" i="43"/>
  <c r="I39" i="43" s="1"/>
  <c r="D40" i="43"/>
  <c r="E40" i="43"/>
  <c r="D52" i="10"/>
  <c r="H51" i="10"/>
  <c r="G51" i="10"/>
  <c r="G39" i="40"/>
  <c r="I39" i="40" s="1"/>
  <c r="D40" i="40"/>
  <c r="G40" i="46"/>
  <c r="I35" i="47"/>
  <c r="E36" i="47"/>
  <c r="F36" i="47" s="1"/>
  <c r="B36" i="47"/>
  <c r="H40" i="46"/>
  <c r="E41" i="37"/>
  <c r="F41" i="37" s="1"/>
  <c r="B41" i="37"/>
  <c r="H32" i="58"/>
  <c r="I32" i="58" s="1"/>
  <c r="D33" i="58"/>
  <c r="E33" i="58"/>
  <c r="G39" i="41"/>
  <c r="I39" i="41" s="1"/>
  <c r="D40" i="41"/>
  <c r="G38" i="55"/>
  <c r="D39" i="55"/>
  <c r="F34" i="54"/>
  <c r="H34" i="54" s="1"/>
  <c r="B34" i="54"/>
  <c r="G47" i="22"/>
  <c r="H47" i="22"/>
  <c r="D48" i="22"/>
  <c r="H40" i="38"/>
  <c r="I40" i="38" s="1"/>
  <c r="D41" i="38"/>
  <c r="E41" i="38"/>
  <c r="H45" i="27"/>
  <c r="D46" i="27"/>
  <c r="G45" i="27"/>
  <c r="E46" i="27"/>
  <c r="H36" i="49"/>
  <c r="D37" i="49"/>
  <c r="E37" i="49"/>
  <c r="D43" i="30"/>
  <c r="G42" i="30"/>
  <c r="H42" i="30"/>
  <c r="G44" i="24"/>
  <c r="H44" i="24"/>
  <c r="D45" i="24"/>
  <c r="E45" i="24"/>
  <c r="H38" i="55"/>
  <c r="I38" i="55" s="1"/>
  <c r="H41" i="44"/>
  <c r="G40" i="39"/>
  <c r="I40" i="39" s="1"/>
  <c r="D41" i="39"/>
  <c r="E41" i="39"/>
  <c r="B36" i="49"/>
  <c r="G36" i="49"/>
  <c r="F38" i="13"/>
  <c r="G38" i="13" s="1"/>
  <c r="G39" i="42"/>
  <c r="I39" i="42" s="1"/>
  <c r="I51" i="7" l="1"/>
  <c r="G34" i="54"/>
  <c r="I40" i="37"/>
  <c r="I43" i="29"/>
  <c r="I49" i="8"/>
  <c r="G32" i="59"/>
  <c r="I32" i="59" s="1"/>
  <c r="E36" i="57"/>
  <c r="G35" i="57"/>
  <c r="H35" i="57"/>
  <c r="D36" i="57"/>
  <c r="I48" i="4"/>
  <c r="I48" i="3"/>
  <c r="I40" i="46"/>
  <c r="I36" i="48"/>
  <c r="I42" i="30"/>
  <c r="I36" i="49"/>
  <c r="I43" i="28"/>
  <c r="I41" i="44"/>
  <c r="I51" i="10"/>
  <c r="I45" i="27"/>
  <c r="I34" i="54"/>
  <c r="I43" i="31"/>
  <c r="I49" i="6"/>
  <c r="H36" i="47"/>
  <c r="D37" i="47"/>
  <c r="G36" i="47"/>
  <c r="G40" i="42"/>
  <c r="D41" i="42"/>
  <c r="H40" i="42"/>
  <c r="B46" i="27"/>
  <c r="F46" i="27"/>
  <c r="F41" i="39"/>
  <c r="H41" i="39" s="1"/>
  <c r="B41" i="39"/>
  <c r="E43" i="30"/>
  <c r="F43" i="30" s="1"/>
  <c r="B43" i="30"/>
  <c r="E40" i="40"/>
  <c r="F40" i="40" s="1"/>
  <c r="B40" i="40"/>
  <c r="E52" i="10"/>
  <c r="F52" i="10" s="1"/>
  <c r="B52" i="10"/>
  <c r="F42" i="44"/>
  <c r="G42" i="44" s="1"/>
  <c r="E48" i="25"/>
  <c r="F48" i="25" s="1"/>
  <c r="B48" i="25"/>
  <c r="E51" i="11"/>
  <c r="F51" i="11" s="1"/>
  <c r="B51" i="11"/>
  <c r="E52" i="7"/>
  <c r="F52" i="7" s="1"/>
  <c r="B52" i="7"/>
  <c r="E40" i="41"/>
  <c r="F40" i="41" s="1"/>
  <c r="B40" i="41"/>
  <c r="H41" i="37"/>
  <c r="D42" i="37"/>
  <c r="E42" i="37"/>
  <c r="B42" i="44"/>
  <c r="B44" i="29"/>
  <c r="F44" i="29"/>
  <c r="F41" i="46"/>
  <c r="D42" i="46" s="1"/>
  <c r="B45" i="24"/>
  <c r="F45" i="24"/>
  <c r="B37" i="49"/>
  <c r="F37" i="49"/>
  <c r="H37" i="49" s="1"/>
  <c r="D35" i="54"/>
  <c r="E35" i="54"/>
  <c r="F40" i="43"/>
  <c r="H40" i="43" s="1"/>
  <c r="B40" i="43"/>
  <c r="B41" i="46"/>
  <c r="F49" i="3"/>
  <c r="B49" i="3"/>
  <c r="F49" i="4"/>
  <c r="B49" i="4"/>
  <c r="F49" i="5"/>
  <c r="B49" i="5"/>
  <c r="E39" i="55"/>
  <c r="F39" i="55" s="1"/>
  <c r="H39" i="55" s="1"/>
  <c r="B39" i="55"/>
  <c r="F51" i="9"/>
  <c r="B51" i="9"/>
  <c r="D39" i="13"/>
  <c r="E39" i="13"/>
  <c r="I44" i="24"/>
  <c r="I46" i="23"/>
  <c r="H43" i="45"/>
  <c r="I43" i="45" s="1"/>
  <c r="D44" i="45"/>
  <c r="E44" i="45"/>
  <c r="D33" i="59"/>
  <c r="E33" i="59"/>
  <c r="I48" i="5"/>
  <c r="I73" i="5" s="1"/>
  <c r="F41" i="38"/>
  <c r="B41" i="38"/>
  <c r="E48" i="22"/>
  <c r="F48" i="22" s="1"/>
  <c r="B48" i="22"/>
  <c r="E50" i="8"/>
  <c r="F50" i="8" s="1"/>
  <c r="B50" i="8"/>
  <c r="E50" i="6"/>
  <c r="F50" i="6" s="1"/>
  <c r="B50" i="6"/>
  <c r="B37" i="48"/>
  <c r="F37" i="48"/>
  <c r="H37" i="48" s="1"/>
  <c r="I47" i="22"/>
  <c r="F33" i="58"/>
  <c r="H33" i="58" s="1"/>
  <c r="B33" i="58"/>
  <c r="G41" i="37"/>
  <c r="I41" i="37" s="1"/>
  <c r="B44" i="28"/>
  <c r="F44" i="28"/>
  <c r="E47" i="23"/>
  <c r="F47" i="23" s="1"/>
  <c r="B47" i="23"/>
  <c r="I50" i="9"/>
  <c r="E44" i="31"/>
  <c r="F44" i="31" s="1"/>
  <c r="B44" i="31"/>
  <c r="I47" i="25"/>
  <c r="H38" i="13"/>
  <c r="I38" i="13" s="1"/>
  <c r="I50" i="11"/>
  <c r="I35" i="57" l="1"/>
  <c r="F36" i="57"/>
  <c r="H36" i="57" s="1"/>
  <c r="I36" i="47"/>
  <c r="B36" i="57"/>
  <c r="H42" i="44"/>
  <c r="I42" i="44" s="1"/>
  <c r="G33" i="58"/>
  <c r="I33" i="58" s="1"/>
  <c r="F39" i="13"/>
  <c r="E40" i="13" s="1"/>
  <c r="I40" i="42"/>
  <c r="D49" i="22"/>
  <c r="H48" i="22"/>
  <c r="G48" i="22"/>
  <c r="E49" i="22"/>
  <c r="D41" i="41"/>
  <c r="E41" i="41"/>
  <c r="H40" i="41"/>
  <c r="G40" i="41"/>
  <c r="G50" i="6"/>
  <c r="D51" i="6"/>
  <c r="H50" i="6"/>
  <c r="E51" i="6"/>
  <c r="H51" i="11"/>
  <c r="D52" i="11"/>
  <c r="G51" i="11"/>
  <c r="E52" i="11"/>
  <c r="B44" i="45"/>
  <c r="H40" i="40"/>
  <c r="D41" i="40"/>
  <c r="E41" i="40"/>
  <c r="G41" i="38"/>
  <c r="D42" i="38"/>
  <c r="E42" i="38"/>
  <c r="B35" i="54"/>
  <c r="F35" i="54"/>
  <c r="G35" i="54" s="1"/>
  <c r="D49" i="25"/>
  <c r="H48" i="25"/>
  <c r="G48" i="25"/>
  <c r="E49" i="25"/>
  <c r="H46" i="27"/>
  <c r="D47" i="27"/>
  <c r="B47" i="27" s="1"/>
  <c r="G46" i="27"/>
  <c r="E47" i="27"/>
  <c r="E41" i="42"/>
  <c r="F41" i="42" s="1"/>
  <c r="B41" i="42"/>
  <c r="D43" i="44"/>
  <c r="E43" i="44"/>
  <c r="B33" i="59"/>
  <c r="G40" i="43"/>
  <c r="I40" i="43" s="1"/>
  <c r="D41" i="43"/>
  <c r="H45" i="24"/>
  <c r="D46" i="24"/>
  <c r="G45" i="24"/>
  <c r="E42" i="46"/>
  <c r="F42" i="46" s="1"/>
  <c r="B42" i="46"/>
  <c r="H47" i="23"/>
  <c r="G47" i="23"/>
  <c r="D48" i="23"/>
  <c r="G50" i="8"/>
  <c r="H50" i="8"/>
  <c r="D51" i="8"/>
  <c r="G39" i="55"/>
  <c r="I39" i="55" s="1"/>
  <c r="D40" i="55"/>
  <c r="D50" i="5"/>
  <c r="H49" i="5"/>
  <c r="G49" i="5"/>
  <c r="E50" i="5"/>
  <c r="D50" i="3"/>
  <c r="H49" i="3"/>
  <c r="G49" i="3"/>
  <c r="E50" i="3"/>
  <c r="D45" i="29"/>
  <c r="G44" i="29"/>
  <c r="H44" i="29"/>
  <c r="E45" i="29"/>
  <c r="H52" i="7"/>
  <c r="D53" i="7"/>
  <c r="G52" i="7"/>
  <c r="H52" i="10"/>
  <c r="D53" i="10"/>
  <c r="G52" i="10"/>
  <c r="H44" i="31"/>
  <c r="D45" i="31"/>
  <c r="G44" i="31"/>
  <c r="E45" i="31"/>
  <c r="G41" i="46"/>
  <c r="G36" i="57"/>
  <c r="I36" i="57" s="1"/>
  <c r="D37" i="57"/>
  <c r="E37" i="57"/>
  <c r="D45" i="28"/>
  <c r="H44" i="28"/>
  <c r="G44" i="28"/>
  <c r="D34" i="58"/>
  <c r="E34" i="58"/>
  <c r="G49" i="4"/>
  <c r="D50" i="4"/>
  <c r="H49" i="4"/>
  <c r="H41" i="46"/>
  <c r="G37" i="49"/>
  <c r="I37" i="49" s="1"/>
  <c r="D38" i="49"/>
  <c r="E38" i="49"/>
  <c r="B42" i="37"/>
  <c r="F42" i="37"/>
  <c r="H42" i="37" s="1"/>
  <c r="G40" i="40"/>
  <c r="E37" i="47"/>
  <c r="F37" i="47" s="1"/>
  <c r="D38" i="47" s="1"/>
  <c r="B37" i="47"/>
  <c r="G43" i="30"/>
  <c r="H43" i="30"/>
  <c r="D44" i="30"/>
  <c r="E44" i="30"/>
  <c r="G37" i="48"/>
  <c r="I37" i="48" s="1"/>
  <c r="D38" i="48"/>
  <c r="E38" i="48"/>
  <c r="H41" i="38"/>
  <c r="I41" i="38" s="1"/>
  <c r="F33" i="59"/>
  <c r="F44" i="45"/>
  <c r="D45" i="45" s="1"/>
  <c r="B39" i="13"/>
  <c r="H51" i="9"/>
  <c r="G51" i="9"/>
  <c r="D52" i="9"/>
  <c r="E52" i="9"/>
  <c r="G41" i="39"/>
  <c r="I41" i="39" s="1"/>
  <c r="D42" i="39"/>
  <c r="H39" i="13" l="1"/>
  <c r="G39" i="13"/>
  <c r="D40" i="13"/>
  <c r="F40" i="13" s="1"/>
  <c r="G40" i="13" s="1"/>
  <c r="I41" i="46"/>
  <c r="I40" i="40"/>
  <c r="F34" i="58"/>
  <c r="I50" i="6"/>
  <c r="H37" i="47"/>
  <c r="I52" i="7"/>
  <c r="G37" i="47"/>
  <c r="I51" i="11"/>
  <c r="I52" i="10"/>
  <c r="I50" i="8"/>
  <c r="I46" i="27"/>
  <c r="I48" i="22"/>
  <c r="I43" i="30"/>
  <c r="G42" i="46"/>
  <c r="D43" i="46"/>
  <c r="H42" i="46"/>
  <c r="F45" i="29"/>
  <c r="B45" i="29"/>
  <c r="G41" i="42"/>
  <c r="D42" i="42"/>
  <c r="E42" i="42"/>
  <c r="F52" i="11"/>
  <c r="B52" i="11"/>
  <c r="E42" i="39"/>
  <c r="F42" i="39" s="1"/>
  <c r="B42" i="39"/>
  <c r="I51" i="9"/>
  <c r="G33" i="59"/>
  <c r="D34" i="59"/>
  <c r="E34" i="59"/>
  <c r="E38" i="47"/>
  <c r="F38" i="47" s="1"/>
  <c r="B38" i="47"/>
  <c r="B40" i="13"/>
  <c r="F37" i="57"/>
  <c r="H37" i="57" s="1"/>
  <c r="B37" i="57"/>
  <c r="I49" i="3"/>
  <c r="I45" i="24"/>
  <c r="I40" i="41"/>
  <c r="E45" i="45"/>
  <c r="F45" i="45" s="1"/>
  <c r="B45" i="45"/>
  <c r="E46" i="24"/>
  <c r="F46" i="24" s="1"/>
  <c r="B46" i="24"/>
  <c r="B43" i="44"/>
  <c r="I39" i="13"/>
  <c r="F50" i="3"/>
  <c r="B50" i="3"/>
  <c r="F47" i="27"/>
  <c r="H35" i="54"/>
  <c r="I35" i="54" s="1"/>
  <c r="B41" i="40"/>
  <c r="F41" i="40"/>
  <c r="H41" i="40" s="1"/>
  <c r="G44" i="45"/>
  <c r="B44" i="30"/>
  <c r="F44" i="30"/>
  <c r="G42" i="37"/>
  <c r="I42" i="37" s="1"/>
  <c r="D43" i="37"/>
  <c r="I44" i="28"/>
  <c r="E53" i="7"/>
  <c r="F53" i="7" s="1"/>
  <c r="B53" i="7"/>
  <c r="E48" i="23"/>
  <c r="F48" i="23" s="1"/>
  <c r="B48" i="23"/>
  <c r="H33" i="59"/>
  <c r="I48" i="25"/>
  <c r="H44" i="45"/>
  <c r="B41" i="41"/>
  <c r="F41" i="41"/>
  <c r="F49" i="25"/>
  <c r="B49" i="25"/>
  <c r="D36" i="54"/>
  <c r="E36" i="54"/>
  <c r="B51" i="6"/>
  <c r="F51" i="6"/>
  <c r="B38" i="48"/>
  <c r="F38" i="48"/>
  <c r="H38" i="48" s="1"/>
  <c r="I49" i="4"/>
  <c r="B45" i="31"/>
  <c r="F45" i="31"/>
  <c r="I47" i="23"/>
  <c r="E41" i="43"/>
  <c r="F41" i="43" s="1"/>
  <c r="B41" i="43"/>
  <c r="F42" i="38"/>
  <c r="B42" i="38"/>
  <c r="E50" i="4"/>
  <c r="F50" i="4" s="1"/>
  <c r="B50" i="4"/>
  <c r="G34" i="58"/>
  <c r="D35" i="58"/>
  <c r="E35" i="58"/>
  <c r="I44" i="31"/>
  <c r="E53" i="10"/>
  <c r="F53" i="10" s="1"/>
  <c r="B53" i="10"/>
  <c r="I44" i="29"/>
  <c r="B50" i="5"/>
  <c r="F50" i="5"/>
  <c r="H41" i="42"/>
  <c r="E45" i="28"/>
  <c r="F45" i="28" s="1"/>
  <c r="B45" i="28"/>
  <c r="F52" i="9"/>
  <c r="B52" i="9"/>
  <c r="B38" i="49"/>
  <c r="F38" i="49"/>
  <c r="B34" i="58"/>
  <c r="H34" i="58"/>
  <c r="E40" i="55"/>
  <c r="F40" i="55" s="1"/>
  <c r="H40" i="55" s="1"/>
  <c r="B40" i="55"/>
  <c r="E51" i="8"/>
  <c r="F51" i="8" s="1"/>
  <c r="B51" i="8"/>
  <c r="F43" i="44"/>
  <c r="G43" i="44" s="1"/>
  <c r="F49" i="22"/>
  <c r="B49" i="22"/>
  <c r="I33" i="59" l="1"/>
  <c r="I37" i="47"/>
  <c r="H40" i="13"/>
  <c r="I40" i="13" s="1"/>
  <c r="D41" i="13"/>
  <c r="I41" i="42"/>
  <c r="E41" i="13"/>
  <c r="I44" i="45"/>
  <c r="I42" i="46"/>
  <c r="D54" i="7"/>
  <c r="H53" i="7"/>
  <c r="G53" i="7"/>
  <c r="H46" i="24"/>
  <c r="D47" i="24"/>
  <c r="G46" i="24"/>
  <c r="H45" i="28"/>
  <c r="G45" i="28"/>
  <c r="D46" i="28"/>
  <c r="E46" i="28"/>
  <c r="H53" i="10"/>
  <c r="D54" i="10"/>
  <c r="G53" i="10"/>
  <c r="H50" i="4"/>
  <c r="G50" i="4"/>
  <c r="D51" i="4"/>
  <c r="H41" i="43"/>
  <c r="D42" i="43"/>
  <c r="E42" i="43"/>
  <c r="G41" i="43"/>
  <c r="G38" i="47"/>
  <c r="D39" i="47"/>
  <c r="H38" i="47"/>
  <c r="D39" i="49"/>
  <c r="E39" i="49"/>
  <c r="H42" i="39"/>
  <c r="D43" i="39"/>
  <c r="H51" i="6"/>
  <c r="D52" i="6"/>
  <c r="G51" i="6"/>
  <c r="G48" i="23"/>
  <c r="D49" i="23"/>
  <c r="H48" i="23"/>
  <c r="H43" i="44"/>
  <c r="I43" i="44" s="1"/>
  <c r="H45" i="45"/>
  <c r="D46" i="45"/>
  <c r="E46" i="45"/>
  <c r="F41" i="13"/>
  <c r="H50" i="5"/>
  <c r="G50" i="5"/>
  <c r="D51" i="5"/>
  <c r="E51" i="5"/>
  <c r="E43" i="37"/>
  <c r="F43" i="37" s="1"/>
  <c r="B43" i="37"/>
  <c r="G49" i="22"/>
  <c r="D50" i="22"/>
  <c r="H49" i="22"/>
  <c r="E50" i="22"/>
  <c r="B36" i="54"/>
  <c r="F36" i="54"/>
  <c r="G36" i="54" s="1"/>
  <c r="G44" i="30"/>
  <c r="H44" i="30"/>
  <c r="D45" i="30"/>
  <c r="E45" i="30"/>
  <c r="H50" i="3"/>
  <c r="G50" i="3"/>
  <c r="D51" i="3"/>
  <c r="E51" i="3"/>
  <c r="H45" i="29"/>
  <c r="G45" i="29"/>
  <c r="D46" i="29"/>
  <c r="B41" i="13"/>
  <c r="G40" i="55"/>
  <c r="I40" i="55" s="1"/>
  <c r="D41" i="55"/>
  <c r="I34" i="58"/>
  <c r="F34" i="59"/>
  <c r="G34" i="59" s="1"/>
  <c r="B34" i="59"/>
  <c r="D53" i="11"/>
  <c r="H52" i="11"/>
  <c r="G52" i="11"/>
  <c r="D44" i="44"/>
  <c r="E44" i="44"/>
  <c r="G37" i="57"/>
  <c r="I37" i="57" s="1"/>
  <c r="D38" i="57"/>
  <c r="E38" i="57"/>
  <c r="H41" i="41"/>
  <c r="D42" i="41"/>
  <c r="E42" i="41"/>
  <c r="H42" i="38"/>
  <c r="D43" i="38"/>
  <c r="E43" i="38"/>
  <c r="F35" i="58"/>
  <c r="G35" i="58" s="1"/>
  <c r="B35" i="58"/>
  <c r="H45" i="31"/>
  <c r="D46" i="31"/>
  <c r="G45" i="31"/>
  <c r="E46" i="31"/>
  <c r="B42" i="42"/>
  <c r="F42" i="42"/>
  <c r="H42" i="42" s="1"/>
  <c r="E43" i="46"/>
  <c r="F43" i="46" s="1"/>
  <c r="B43" i="46"/>
  <c r="H47" i="27"/>
  <c r="D48" i="27"/>
  <c r="B48" i="27" s="1"/>
  <c r="G47" i="27"/>
  <c r="E48" i="27"/>
  <c r="G42" i="39"/>
  <c r="H51" i="8"/>
  <c r="G51" i="8"/>
  <c r="D52" i="8"/>
  <c r="G38" i="49"/>
  <c r="G52" i="9"/>
  <c r="H52" i="9"/>
  <c r="D53" i="9"/>
  <c r="G49" i="25"/>
  <c r="H49" i="25"/>
  <c r="D50" i="25"/>
  <c r="E50" i="25"/>
  <c r="G41" i="40"/>
  <c r="I41" i="40" s="1"/>
  <c r="D42" i="40"/>
  <c r="E42" i="40"/>
  <c r="H38" i="49"/>
  <c r="G42" i="38"/>
  <c r="G38" i="48"/>
  <c r="I38" i="48" s="1"/>
  <c r="D39" i="48"/>
  <c r="G41" i="41"/>
  <c r="G45" i="45"/>
  <c r="H35" i="58" l="1"/>
  <c r="I45" i="45"/>
  <c r="I41" i="43"/>
  <c r="I52" i="9"/>
  <c r="I45" i="29"/>
  <c r="I41" i="41"/>
  <c r="I42" i="38"/>
  <c r="I52" i="11"/>
  <c r="I46" i="24"/>
  <c r="I42" i="39"/>
  <c r="I47" i="27"/>
  <c r="I49" i="22"/>
  <c r="I45" i="28"/>
  <c r="H43" i="37"/>
  <c r="D44" i="37"/>
  <c r="G43" i="37"/>
  <c r="H43" i="46"/>
  <c r="D44" i="46"/>
  <c r="B46" i="31"/>
  <c r="F46" i="31"/>
  <c r="I50" i="3"/>
  <c r="D37" i="54"/>
  <c r="E37" i="54"/>
  <c r="F50" i="22"/>
  <c r="B50" i="22"/>
  <c r="F46" i="45"/>
  <c r="D47" i="45" s="1"/>
  <c r="I48" i="23"/>
  <c r="E43" i="39"/>
  <c r="F43" i="39" s="1"/>
  <c r="H43" i="39" s="1"/>
  <c r="B43" i="39"/>
  <c r="E54" i="10"/>
  <c r="F54" i="10" s="1"/>
  <c r="B54" i="10"/>
  <c r="E47" i="24"/>
  <c r="F47" i="24" s="1"/>
  <c r="B47" i="24"/>
  <c r="F50" i="25"/>
  <c r="B50" i="25"/>
  <c r="F48" i="27"/>
  <c r="I45" i="31"/>
  <c r="B43" i="38"/>
  <c r="F43" i="38"/>
  <c r="D44" i="38" s="1"/>
  <c r="F42" i="41"/>
  <c r="B42" i="41"/>
  <c r="F38" i="57"/>
  <c r="H38" i="57" s="1"/>
  <c r="H34" i="59"/>
  <c r="I34" i="59" s="1"/>
  <c r="D35" i="59"/>
  <c r="E35" i="59"/>
  <c r="B46" i="45"/>
  <c r="E49" i="23"/>
  <c r="F49" i="23" s="1"/>
  <c r="B49" i="23"/>
  <c r="F39" i="49"/>
  <c r="G39" i="49" s="1"/>
  <c r="B39" i="49"/>
  <c r="I53" i="10"/>
  <c r="E46" i="29"/>
  <c r="F46" i="29" s="1"/>
  <c r="B46" i="29"/>
  <c r="E39" i="48"/>
  <c r="F39" i="48" s="1"/>
  <c r="H39" i="48" s="1"/>
  <c r="B39" i="48"/>
  <c r="I49" i="25"/>
  <c r="E52" i="8"/>
  <c r="F52" i="8" s="1"/>
  <c r="B52" i="8"/>
  <c r="B38" i="57"/>
  <c r="F44" i="44"/>
  <c r="G44" i="44" s="1"/>
  <c r="B42" i="43"/>
  <c r="F42" i="43"/>
  <c r="H42" i="43" s="1"/>
  <c r="D42" i="13"/>
  <c r="E42" i="13"/>
  <c r="B46" i="28"/>
  <c r="F46" i="28"/>
  <c r="I51" i="8"/>
  <c r="H41" i="13"/>
  <c r="E52" i="6"/>
  <c r="F52" i="6" s="1"/>
  <c r="B52" i="6"/>
  <c r="E51" i="4"/>
  <c r="F51" i="4" s="1"/>
  <c r="B51" i="4"/>
  <c r="I53" i="7"/>
  <c r="I35" i="58"/>
  <c r="B44" i="44"/>
  <c r="I38" i="49"/>
  <c r="G43" i="46"/>
  <c r="I43" i="46" s="1"/>
  <c r="G42" i="42"/>
  <c r="I42" i="42" s="1"/>
  <c r="D43" i="42"/>
  <c r="E43" i="42"/>
  <c r="E41" i="55"/>
  <c r="F41" i="55" s="1"/>
  <c r="B41" i="55"/>
  <c r="G41" i="13"/>
  <c r="B45" i="30"/>
  <c r="F45" i="30"/>
  <c r="F51" i="5"/>
  <c r="B51" i="5"/>
  <c r="I51" i="6"/>
  <c r="I38" i="47"/>
  <c r="E54" i="7"/>
  <c r="F54" i="7" s="1"/>
  <c r="B54" i="7"/>
  <c r="F42" i="40"/>
  <c r="H42" i="40" s="1"/>
  <c r="B42" i="40"/>
  <c r="E53" i="9"/>
  <c r="F53" i="9" s="1"/>
  <c r="B53" i="9"/>
  <c r="D36" i="58"/>
  <c r="E36" i="58"/>
  <c r="E53" i="11"/>
  <c r="F53" i="11" s="1"/>
  <c r="B53" i="11"/>
  <c r="B51" i="3"/>
  <c r="F51" i="3"/>
  <c r="I44" i="30"/>
  <c r="H36" i="54"/>
  <c r="I36" i="54" s="1"/>
  <c r="E39" i="47"/>
  <c r="F39" i="47" s="1"/>
  <c r="B39" i="47"/>
  <c r="I50" i="4"/>
  <c r="H39" i="49" l="1"/>
  <c r="G46" i="45"/>
  <c r="H46" i="45"/>
  <c r="I43" i="37"/>
  <c r="I39" i="49"/>
  <c r="F37" i="54"/>
  <c r="H37" i="54" s="1"/>
  <c r="G43" i="38"/>
  <c r="H43" i="38"/>
  <c r="F42" i="13"/>
  <c r="H42" i="13" s="1"/>
  <c r="I41" i="13"/>
  <c r="D47" i="29"/>
  <c r="G46" i="29"/>
  <c r="H46" i="29"/>
  <c r="D42" i="55"/>
  <c r="E42" i="55" s="1"/>
  <c r="F42" i="55" s="1"/>
  <c r="H41" i="55"/>
  <c r="G41" i="55"/>
  <c r="G51" i="4"/>
  <c r="D52" i="4"/>
  <c r="H51" i="4"/>
  <c r="D48" i="24"/>
  <c r="H47" i="24"/>
  <c r="G47" i="24"/>
  <c r="D50" i="23"/>
  <c r="G49" i="23"/>
  <c r="H49" i="23"/>
  <c r="D43" i="41"/>
  <c r="E43" i="41"/>
  <c r="G43" i="39"/>
  <c r="I43" i="39" s="1"/>
  <c r="D44" i="39"/>
  <c r="E44" i="39"/>
  <c r="B37" i="54"/>
  <c r="E44" i="37"/>
  <c r="F44" i="37" s="1"/>
  <c r="B44" i="37"/>
  <c r="H52" i="6"/>
  <c r="D53" i="6"/>
  <c r="G52" i="6"/>
  <c r="H54" i="7"/>
  <c r="D55" i="7"/>
  <c r="G54" i="7"/>
  <c r="E55" i="7"/>
  <c r="B43" i="42"/>
  <c r="F43" i="42"/>
  <c r="H43" i="42" s="1"/>
  <c r="G39" i="48"/>
  <c r="I39" i="48" s="1"/>
  <c r="D40" i="48"/>
  <c r="E40" i="48"/>
  <c r="D40" i="49"/>
  <c r="E40" i="49"/>
  <c r="B35" i="59"/>
  <c r="F35" i="59"/>
  <c r="H35" i="59" s="1"/>
  <c r="G46" i="31"/>
  <c r="D47" i="31"/>
  <c r="H46" i="31"/>
  <c r="E47" i="31"/>
  <c r="G46" i="28"/>
  <c r="H46" i="28"/>
  <c r="D47" i="28"/>
  <c r="E47" i="28"/>
  <c r="H53" i="11"/>
  <c r="G53" i="11"/>
  <c r="D54" i="11"/>
  <c r="E54" i="11"/>
  <c r="F36" i="58"/>
  <c r="G36" i="58" s="1"/>
  <c r="B36" i="58"/>
  <c r="G51" i="5"/>
  <c r="D52" i="5"/>
  <c r="H51" i="5"/>
  <c r="E52" i="5"/>
  <c r="E44" i="38"/>
  <c r="F44" i="38" s="1"/>
  <c r="H44" i="38" s="1"/>
  <c r="B44" i="38"/>
  <c r="G51" i="3"/>
  <c r="H51" i="3"/>
  <c r="D52" i="3"/>
  <c r="E52" i="3"/>
  <c r="G45" i="30"/>
  <c r="H45" i="30"/>
  <c r="D46" i="30"/>
  <c r="E46" i="30"/>
  <c r="G38" i="57"/>
  <c r="I38" i="57" s="1"/>
  <c r="D39" i="57"/>
  <c r="E39" i="57"/>
  <c r="D51" i="25"/>
  <c r="H50" i="25"/>
  <c r="G50" i="25"/>
  <c r="E51" i="25"/>
  <c r="E47" i="45"/>
  <c r="F47" i="45" s="1"/>
  <c r="B47" i="45"/>
  <c r="E44" i="46"/>
  <c r="F44" i="46" s="1"/>
  <c r="H44" i="46" s="1"/>
  <c r="B44" i="46"/>
  <c r="D54" i="9"/>
  <c r="G53" i="9"/>
  <c r="H53" i="9"/>
  <c r="G39" i="47"/>
  <c r="D40" i="47"/>
  <c r="G42" i="43"/>
  <c r="I42" i="43" s="1"/>
  <c r="D43" i="43"/>
  <c r="D53" i="8"/>
  <c r="H52" i="8"/>
  <c r="G52" i="8"/>
  <c r="E53" i="8"/>
  <c r="H42" i="41"/>
  <c r="H48" i="27"/>
  <c r="G48" i="27"/>
  <c r="D49" i="27"/>
  <c r="G54" i="10"/>
  <c r="H54" i="10"/>
  <c r="D55" i="10"/>
  <c r="H39" i="47"/>
  <c r="G42" i="40"/>
  <c r="I42" i="40" s="1"/>
  <c r="D43" i="40"/>
  <c r="E43" i="40"/>
  <c r="B42" i="13"/>
  <c r="H44" i="44"/>
  <c r="I44" i="44" s="1"/>
  <c r="D45" i="44"/>
  <c r="E45" i="44"/>
  <c r="G42" i="41"/>
  <c r="G50" i="22"/>
  <c r="D51" i="22"/>
  <c r="H50" i="22"/>
  <c r="E51" i="22"/>
  <c r="E38" i="54" l="1"/>
  <c r="D38" i="54"/>
  <c r="G37" i="54"/>
  <c r="I46" i="45"/>
  <c r="I43" i="38"/>
  <c r="I50" i="25"/>
  <c r="I48" i="27"/>
  <c r="E43" i="13"/>
  <c r="D43" i="13"/>
  <c r="I52" i="6"/>
  <c r="G42" i="13"/>
  <c r="I42" i="13" s="1"/>
  <c r="I52" i="8"/>
  <c r="I54" i="10"/>
  <c r="I45" i="30"/>
  <c r="I46" i="28"/>
  <c r="F45" i="44"/>
  <c r="G45" i="44" s="1"/>
  <c r="I41" i="55"/>
  <c r="I50" i="22"/>
  <c r="I51" i="4"/>
  <c r="I54" i="7"/>
  <c r="I53" i="11"/>
  <c r="I46" i="31"/>
  <c r="H44" i="37"/>
  <c r="D45" i="37"/>
  <c r="G44" i="37"/>
  <c r="H47" i="45"/>
  <c r="D48" i="45"/>
  <c r="G47" i="45"/>
  <c r="I51" i="3"/>
  <c r="E53" i="6"/>
  <c r="F53" i="6" s="1"/>
  <c r="B53" i="6"/>
  <c r="E43" i="43"/>
  <c r="F43" i="43" s="1"/>
  <c r="H43" i="43" s="1"/>
  <c r="B43" i="43"/>
  <c r="E54" i="9"/>
  <c r="F54" i="9" s="1"/>
  <c r="B54" i="9"/>
  <c r="B39" i="57"/>
  <c r="F39" i="57"/>
  <c r="H39" i="57" s="1"/>
  <c r="I39" i="47"/>
  <c r="I42" i="41"/>
  <c r="B53" i="8"/>
  <c r="F53" i="8"/>
  <c r="B38" i="54"/>
  <c r="F38" i="54"/>
  <c r="G38" i="54" s="1"/>
  <c r="I37" i="54"/>
  <c r="E50" i="23"/>
  <c r="F50" i="23" s="1"/>
  <c r="B50" i="23"/>
  <c r="H36" i="58"/>
  <c r="I36" i="58" s="1"/>
  <c r="D37" i="58"/>
  <c r="E37" i="58"/>
  <c r="B47" i="31"/>
  <c r="F47" i="31"/>
  <c r="D43" i="55"/>
  <c r="E43" i="55" s="1"/>
  <c r="F43" i="55" s="1"/>
  <c r="F51" i="22"/>
  <c r="B51" i="22"/>
  <c r="B45" i="44"/>
  <c r="B44" i="39"/>
  <c r="F44" i="39"/>
  <c r="H44" i="39" s="1"/>
  <c r="E48" i="24"/>
  <c r="F48" i="24" s="1"/>
  <c r="B48" i="24"/>
  <c r="B42" i="55"/>
  <c r="H42" i="55"/>
  <c r="G42" i="55"/>
  <c r="F46" i="30"/>
  <c r="B46" i="30"/>
  <c r="F51" i="25"/>
  <c r="B51" i="25"/>
  <c r="G44" i="38"/>
  <c r="I44" i="38" s="1"/>
  <c r="D45" i="38"/>
  <c r="F52" i="5"/>
  <c r="B52" i="5"/>
  <c r="G43" i="42"/>
  <c r="I43" i="42" s="1"/>
  <c r="D44" i="42"/>
  <c r="E44" i="42"/>
  <c r="B43" i="13"/>
  <c r="B54" i="11"/>
  <c r="F54" i="11"/>
  <c r="I46" i="29"/>
  <c r="G44" i="46"/>
  <c r="I44" i="46" s="1"/>
  <c r="D45" i="46"/>
  <c r="I47" i="24"/>
  <c r="B43" i="40"/>
  <c r="F43" i="40"/>
  <c r="H43" i="40" s="1"/>
  <c r="E49" i="27"/>
  <c r="F49" i="27" s="1"/>
  <c r="B49" i="27"/>
  <c r="I53" i="9"/>
  <c r="F47" i="28"/>
  <c r="B47" i="28"/>
  <c r="F40" i="49"/>
  <c r="B40" i="49"/>
  <c r="B55" i="7"/>
  <c r="F55" i="7"/>
  <c r="E55" i="10"/>
  <c r="F55" i="10" s="1"/>
  <c r="B55" i="10"/>
  <c r="E40" i="47"/>
  <c r="F40" i="47" s="1"/>
  <c r="B40" i="47"/>
  <c r="F52" i="3"/>
  <c r="B52" i="3"/>
  <c r="G35" i="59"/>
  <c r="I35" i="59" s="1"/>
  <c r="D36" i="59"/>
  <c r="E36" i="59"/>
  <c r="F40" i="48"/>
  <c r="H40" i="48" s="1"/>
  <c r="B40" i="48"/>
  <c r="F43" i="41"/>
  <c r="H43" i="41" s="1"/>
  <c r="B43" i="41"/>
  <c r="I49" i="23"/>
  <c r="E52" i="4"/>
  <c r="F52" i="4" s="1"/>
  <c r="B52" i="4"/>
  <c r="E47" i="29"/>
  <c r="F47" i="29" s="1"/>
  <c r="B47" i="29"/>
  <c r="E46" i="44" l="1"/>
  <c r="D46" i="44"/>
  <c r="H45" i="44"/>
  <c r="I45" i="44" s="1"/>
  <c r="I47" i="45"/>
  <c r="F46" i="44"/>
  <c r="I44" i="37"/>
  <c r="F43" i="13"/>
  <c r="I42" i="55"/>
  <c r="H53" i="6"/>
  <c r="D54" i="6"/>
  <c r="G53" i="6"/>
  <c r="H52" i="4"/>
  <c r="D53" i="4"/>
  <c r="G52" i="4"/>
  <c r="H40" i="47"/>
  <c r="D41" i="47"/>
  <c r="G40" i="49"/>
  <c r="D41" i="49"/>
  <c r="E41" i="49"/>
  <c r="H48" i="24"/>
  <c r="G48" i="24"/>
  <c r="D49" i="24"/>
  <c r="E49" i="24"/>
  <c r="G40" i="48"/>
  <c r="I40" i="48" s="1"/>
  <c r="D41" i="48"/>
  <c r="G52" i="3"/>
  <c r="D53" i="3"/>
  <c r="H52" i="3"/>
  <c r="E53" i="3"/>
  <c r="H55" i="10"/>
  <c r="G55" i="10"/>
  <c r="D56" i="10"/>
  <c r="H52" i="5"/>
  <c r="G52" i="5"/>
  <c r="D53" i="5"/>
  <c r="D47" i="44"/>
  <c r="E47" i="44"/>
  <c r="E48" i="45"/>
  <c r="F48" i="45" s="1"/>
  <c r="H48" i="45" s="1"/>
  <c r="B48" i="45"/>
  <c r="E45" i="37"/>
  <c r="F45" i="37" s="1"/>
  <c r="G45" i="37" s="1"/>
  <c r="B45" i="37"/>
  <c r="D47" i="30"/>
  <c r="H46" i="30"/>
  <c r="G46" i="30"/>
  <c r="G39" i="57"/>
  <c r="I39" i="57" s="1"/>
  <c r="D40" i="57"/>
  <c r="E40" i="57"/>
  <c r="G43" i="43"/>
  <c r="I43" i="43" s="1"/>
  <c r="D44" i="43"/>
  <c r="E45" i="38"/>
  <c r="F45" i="38" s="1"/>
  <c r="H45" i="38" s="1"/>
  <c r="B45" i="38"/>
  <c r="B46" i="44"/>
  <c r="H46" i="44"/>
  <c r="G46" i="44"/>
  <c r="G44" i="39"/>
  <c r="I44" i="39" s="1"/>
  <c r="D45" i="39"/>
  <c r="G51" i="22"/>
  <c r="D52" i="22"/>
  <c r="H51" i="22"/>
  <c r="G43" i="41"/>
  <c r="I43" i="41" s="1"/>
  <c r="D44" i="41"/>
  <c r="E44" i="41"/>
  <c r="B36" i="59"/>
  <c r="F36" i="59"/>
  <c r="H36" i="59" s="1"/>
  <c r="H55" i="7"/>
  <c r="G55" i="7"/>
  <c r="D56" i="7"/>
  <c r="E56" i="7"/>
  <c r="D48" i="28"/>
  <c r="G47" i="28"/>
  <c r="H47" i="28"/>
  <c r="E48" i="28"/>
  <c r="G49" i="27"/>
  <c r="H49" i="27"/>
  <c r="D50" i="27"/>
  <c r="B50" i="27" s="1"/>
  <c r="E50" i="27"/>
  <c r="D55" i="11"/>
  <c r="G54" i="11"/>
  <c r="H54" i="11"/>
  <c r="E55" i="11"/>
  <c r="B44" i="42"/>
  <c r="F44" i="42"/>
  <c r="G44" i="42" s="1"/>
  <c r="G43" i="55"/>
  <c r="D44" i="55"/>
  <c r="G53" i="8"/>
  <c r="H53" i="8"/>
  <c r="D54" i="8"/>
  <c r="E54" i="8"/>
  <c r="D51" i="23"/>
  <c r="H50" i="23"/>
  <c r="G50" i="23"/>
  <c r="E51" i="23"/>
  <c r="G43" i="40"/>
  <c r="I43" i="40" s="1"/>
  <c r="D44" i="40"/>
  <c r="E44" i="40"/>
  <c r="B43" i="55"/>
  <c r="H43" i="55"/>
  <c r="H38" i="54"/>
  <c r="I38" i="54" s="1"/>
  <c r="D39" i="54"/>
  <c r="E39" i="54"/>
  <c r="G54" i="9"/>
  <c r="H54" i="9"/>
  <c r="D55" i="9"/>
  <c r="E55" i="9"/>
  <c r="D48" i="29"/>
  <c r="G47" i="29"/>
  <c r="H47" i="29"/>
  <c r="G40" i="47"/>
  <c r="H40" i="49"/>
  <c r="E45" i="46"/>
  <c r="F45" i="46" s="1"/>
  <c r="H45" i="46" s="1"/>
  <c r="B45" i="46"/>
  <c r="H51" i="25"/>
  <c r="G51" i="25"/>
  <c r="D52" i="25"/>
  <c r="E52" i="25"/>
  <c r="D48" i="31"/>
  <c r="G47" i="31"/>
  <c r="H47" i="31"/>
  <c r="F37" i="58"/>
  <c r="H37" i="58" s="1"/>
  <c r="B37" i="58"/>
  <c r="I54" i="9" l="1"/>
  <c r="I40" i="47"/>
  <c r="G36" i="59"/>
  <c r="I36" i="59" s="1"/>
  <c r="I52" i="3"/>
  <c r="E44" i="13"/>
  <c r="G43" i="13"/>
  <c r="D44" i="13"/>
  <c r="H43" i="13"/>
  <c r="I43" i="13" s="1"/>
  <c r="I40" i="49"/>
  <c r="I43" i="55"/>
  <c r="F47" i="44"/>
  <c r="H47" i="44" s="1"/>
  <c r="I51" i="25"/>
  <c r="I50" i="23"/>
  <c r="I52" i="4"/>
  <c r="I46" i="30"/>
  <c r="I46" i="44"/>
  <c r="B55" i="9"/>
  <c r="F55" i="9"/>
  <c r="F55" i="11"/>
  <c r="B55" i="11"/>
  <c r="E41" i="47"/>
  <c r="F41" i="47" s="1"/>
  <c r="B41" i="47"/>
  <c r="E53" i="4"/>
  <c r="F53" i="4" s="1"/>
  <c r="B53" i="4"/>
  <c r="F40" i="57"/>
  <c r="H40" i="57" s="1"/>
  <c r="E56" i="10"/>
  <c r="F56" i="10" s="1"/>
  <c r="B56" i="10"/>
  <c r="F49" i="24"/>
  <c r="B49" i="24"/>
  <c r="G37" i="58"/>
  <c r="I37" i="58" s="1"/>
  <c r="I47" i="29"/>
  <c r="B39" i="54"/>
  <c r="F39" i="54"/>
  <c r="G39" i="54" s="1"/>
  <c r="B54" i="8"/>
  <c r="F54" i="8"/>
  <c r="E44" i="55"/>
  <c r="F44" i="55" s="1"/>
  <c r="B44" i="55"/>
  <c r="H44" i="42"/>
  <c r="I44" i="42" s="1"/>
  <c r="D45" i="42"/>
  <c r="I55" i="10"/>
  <c r="E41" i="48"/>
  <c r="F41" i="48" s="1"/>
  <c r="B41" i="48"/>
  <c r="E54" i="6"/>
  <c r="F54" i="6" s="1"/>
  <c r="B54" i="6"/>
  <c r="E48" i="31"/>
  <c r="F48" i="31" s="1"/>
  <c r="B48" i="31"/>
  <c r="B51" i="23"/>
  <c r="F51" i="23"/>
  <c r="G45" i="38"/>
  <c r="I45" i="38" s="1"/>
  <c r="D46" i="38"/>
  <c r="E46" i="38"/>
  <c r="F41" i="49"/>
  <c r="G41" i="49" s="1"/>
  <c r="B41" i="49"/>
  <c r="F52" i="25"/>
  <c r="B52" i="25"/>
  <c r="I53" i="8"/>
  <c r="F50" i="27"/>
  <c r="I47" i="28"/>
  <c r="I51" i="22"/>
  <c r="G48" i="45"/>
  <c r="I48" i="45" s="1"/>
  <c r="D49" i="45"/>
  <c r="E49" i="45"/>
  <c r="I48" i="24"/>
  <c r="I53" i="6"/>
  <c r="B44" i="40"/>
  <c r="F44" i="40"/>
  <c r="I55" i="7"/>
  <c r="D37" i="59"/>
  <c r="E37" i="59"/>
  <c r="B40" i="57"/>
  <c r="E48" i="29"/>
  <c r="F48" i="29" s="1"/>
  <c r="B48" i="29"/>
  <c r="F44" i="41"/>
  <c r="H44" i="41" s="1"/>
  <c r="B44" i="41"/>
  <c r="E52" i="22"/>
  <c r="F52" i="22" s="1"/>
  <c r="B52" i="22"/>
  <c r="E47" i="30"/>
  <c r="F47" i="30" s="1"/>
  <c r="B47" i="30"/>
  <c r="B47" i="44"/>
  <c r="G47" i="44"/>
  <c r="D46" i="46"/>
  <c r="E46" i="46"/>
  <c r="E45" i="39"/>
  <c r="F45" i="39" s="1"/>
  <c r="G45" i="39" s="1"/>
  <c r="B45" i="39"/>
  <c r="D38" i="58"/>
  <c r="E38" i="58"/>
  <c r="I47" i="31"/>
  <c r="G45" i="46"/>
  <c r="I45" i="46" s="1"/>
  <c r="I54" i="11"/>
  <c r="I49" i="27"/>
  <c r="B48" i="28"/>
  <c r="F48" i="28"/>
  <c r="B56" i="7"/>
  <c r="F56" i="7"/>
  <c r="E53" i="5"/>
  <c r="F53" i="5" s="1"/>
  <c r="B53" i="5"/>
  <c r="F53" i="3"/>
  <c r="B53" i="3"/>
  <c r="E44" i="43"/>
  <c r="F44" i="43" s="1"/>
  <c r="B44" i="43"/>
  <c r="H45" i="37"/>
  <c r="I45" i="37" s="1"/>
  <c r="D46" i="37"/>
  <c r="E46" i="37"/>
  <c r="G40" i="57" l="1"/>
  <c r="E48" i="44"/>
  <c r="D48" i="44"/>
  <c r="F48" i="44" s="1"/>
  <c r="H48" i="44" s="1"/>
  <c r="I47" i="44"/>
  <c r="B44" i="13"/>
  <c r="F44" i="13"/>
  <c r="G44" i="13" s="1"/>
  <c r="H44" i="43"/>
  <c r="G44" i="43"/>
  <c r="F46" i="46"/>
  <c r="D47" i="46" s="1"/>
  <c r="B47" i="46" s="1"/>
  <c r="F49" i="45"/>
  <c r="D50" i="45" s="1"/>
  <c r="B50" i="45" s="1"/>
  <c r="D54" i="4"/>
  <c r="G53" i="4"/>
  <c r="H53" i="4"/>
  <c r="H52" i="22"/>
  <c r="G52" i="22"/>
  <c r="D53" i="22"/>
  <c r="G44" i="55"/>
  <c r="D45" i="55"/>
  <c r="H44" i="55"/>
  <c r="G41" i="47"/>
  <c r="D42" i="47"/>
  <c r="H41" i="47"/>
  <c r="G54" i="6"/>
  <c r="D55" i="6"/>
  <c r="H54" i="6"/>
  <c r="G41" i="48"/>
  <c r="D42" i="48"/>
  <c r="H41" i="48"/>
  <c r="G51" i="23"/>
  <c r="H51" i="23"/>
  <c r="D52" i="23"/>
  <c r="D57" i="10"/>
  <c r="G56" i="10"/>
  <c r="H56" i="10"/>
  <c r="B49" i="45"/>
  <c r="G49" i="45"/>
  <c r="H49" i="24"/>
  <c r="D50" i="24"/>
  <c r="G49" i="24"/>
  <c r="F46" i="38"/>
  <c r="G46" i="38" s="1"/>
  <c r="B46" i="38"/>
  <c r="D55" i="8"/>
  <c r="H54" i="8"/>
  <c r="G54" i="8"/>
  <c r="E55" i="8"/>
  <c r="D41" i="57"/>
  <c r="E41" i="57"/>
  <c r="D56" i="11"/>
  <c r="G55" i="11"/>
  <c r="H55" i="11"/>
  <c r="D54" i="5"/>
  <c r="H53" i="5"/>
  <c r="G53" i="5"/>
  <c r="F37" i="59"/>
  <c r="G37" i="59" s="1"/>
  <c r="B37" i="59"/>
  <c r="B46" i="46"/>
  <c r="H46" i="46"/>
  <c r="D49" i="29"/>
  <c r="H48" i="29"/>
  <c r="G48" i="29"/>
  <c r="D57" i="7"/>
  <c r="G56" i="7"/>
  <c r="H56" i="7"/>
  <c r="G44" i="41"/>
  <c r="I44" i="41" s="1"/>
  <c r="D45" i="41"/>
  <c r="E45" i="41"/>
  <c r="I40" i="57"/>
  <c r="B48" i="44"/>
  <c r="H50" i="27"/>
  <c r="G50" i="27"/>
  <c r="D51" i="27"/>
  <c r="B51" i="27" s="1"/>
  <c r="E51" i="27"/>
  <c r="H41" i="49"/>
  <c r="I41" i="49" s="1"/>
  <c r="H55" i="9"/>
  <c r="G55" i="9"/>
  <c r="D56" i="9"/>
  <c r="E45" i="42"/>
  <c r="F45" i="42" s="1"/>
  <c r="B45" i="42"/>
  <c r="H52" i="25"/>
  <c r="G52" i="25"/>
  <c r="D53" i="25"/>
  <c r="D49" i="31"/>
  <c r="H48" i="31"/>
  <c r="G48" i="31"/>
  <c r="D45" i="43"/>
  <c r="E45" i="43"/>
  <c r="H39" i="54"/>
  <c r="I39" i="54" s="1"/>
  <c r="D40" i="54"/>
  <c r="E40" i="54"/>
  <c r="F46" i="37"/>
  <c r="H46" i="37" s="1"/>
  <c r="B46" i="37"/>
  <c r="H44" i="40"/>
  <c r="D45" i="40"/>
  <c r="E45" i="40"/>
  <c r="G53" i="3"/>
  <c r="D54" i="3"/>
  <c r="H53" i="3"/>
  <c r="E54" i="3"/>
  <c r="D49" i="28"/>
  <c r="G48" i="28"/>
  <c r="H48" i="28"/>
  <c r="F38" i="58"/>
  <c r="G38" i="58" s="1"/>
  <c r="B38" i="58"/>
  <c r="H47" i="30"/>
  <c r="D48" i="30"/>
  <c r="G47" i="30"/>
  <c r="H45" i="39"/>
  <c r="I45" i="39" s="1"/>
  <c r="D46" i="39"/>
  <c r="E46" i="39"/>
  <c r="G44" i="40"/>
  <c r="D42" i="49"/>
  <c r="E42" i="49"/>
  <c r="H49" i="45" l="1"/>
  <c r="F51" i="27"/>
  <c r="E49" i="44"/>
  <c r="G48" i="44"/>
  <c r="D49" i="44"/>
  <c r="F49" i="44" s="1"/>
  <c r="E50" i="44" s="1"/>
  <c r="I44" i="43"/>
  <c r="I44" i="40"/>
  <c r="I56" i="10"/>
  <c r="I44" i="55"/>
  <c r="I56" i="7"/>
  <c r="I41" i="47"/>
  <c r="I53" i="4"/>
  <c r="I48" i="44"/>
  <c r="E47" i="46"/>
  <c r="F47" i="46" s="1"/>
  <c r="G47" i="46" s="1"/>
  <c r="H44" i="13"/>
  <c r="I44" i="13" s="1"/>
  <c r="D45" i="13"/>
  <c r="E45" i="13"/>
  <c r="G46" i="46"/>
  <c r="I46" i="46" s="1"/>
  <c r="I52" i="22"/>
  <c r="F42" i="49"/>
  <c r="E43" i="49" s="1"/>
  <c r="I50" i="27"/>
  <c r="E50" i="45"/>
  <c r="F50" i="45" s="1"/>
  <c r="G50" i="45" s="1"/>
  <c r="I48" i="28"/>
  <c r="I53" i="3"/>
  <c r="I52" i="25"/>
  <c r="I55" i="9"/>
  <c r="I55" i="11"/>
  <c r="I48" i="29"/>
  <c r="I49" i="24"/>
  <c r="G45" i="42"/>
  <c r="D46" i="42"/>
  <c r="E46" i="42"/>
  <c r="H45" i="42"/>
  <c r="E54" i="5"/>
  <c r="F54" i="5" s="1"/>
  <c r="B54" i="5"/>
  <c r="I54" i="6"/>
  <c r="E45" i="55"/>
  <c r="F45" i="55" s="1"/>
  <c r="H45" i="55" s="1"/>
  <c r="B45" i="55"/>
  <c r="E56" i="11"/>
  <c r="F56" i="11" s="1"/>
  <c r="B56" i="11"/>
  <c r="F45" i="43"/>
  <c r="H45" i="43" s="1"/>
  <c r="B45" i="43"/>
  <c r="F45" i="41"/>
  <c r="H45" i="41" s="1"/>
  <c r="B45" i="41"/>
  <c r="H37" i="59"/>
  <c r="I37" i="59" s="1"/>
  <c r="I54" i="8"/>
  <c r="E53" i="22"/>
  <c r="F53" i="22" s="1"/>
  <c r="B53" i="22"/>
  <c r="E55" i="6"/>
  <c r="F55" i="6" s="1"/>
  <c r="B55" i="6"/>
  <c r="I48" i="31"/>
  <c r="E48" i="30"/>
  <c r="F48" i="30" s="1"/>
  <c r="B48" i="30"/>
  <c r="B54" i="3"/>
  <c r="F54" i="3"/>
  <c r="F45" i="40"/>
  <c r="B45" i="40"/>
  <c r="E49" i="31"/>
  <c r="F49" i="31" s="1"/>
  <c r="B49" i="31"/>
  <c r="F55" i="8"/>
  <c r="B55" i="8"/>
  <c r="B49" i="44"/>
  <c r="E54" i="4"/>
  <c r="F54" i="4" s="1"/>
  <c r="B54" i="4"/>
  <c r="E53" i="25"/>
  <c r="F53" i="25" s="1"/>
  <c r="B53" i="25"/>
  <c r="D39" i="58"/>
  <c r="E39" i="58"/>
  <c r="I47" i="30"/>
  <c r="E49" i="28"/>
  <c r="F49" i="28" s="1"/>
  <c r="B49" i="28"/>
  <c r="E56" i="9"/>
  <c r="F56" i="9" s="1"/>
  <c r="B56" i="9"/>
  <c r="D52" i="27"/>
  <c r="G51" i="27"/>
  <c r="H51" i="27"/>
  <c r="E52" i="27"/>
  <c r="E57" i="7"/>
  <c r="F57" i="7" s="1"/>
  <c r="B57" i="7"/>
  <c r="F41" i="57"/>
  <c r="G41" i="57" s="1"/>
  <c r="B41" i="57"/>
  <c r="F46" i="39"/>
  <c r="H46" i="39" s="1"/>
  <c r="B46" i="39"/>
  <c r="B42" i="49"/>
  <c r="F40" i="54"/>
  <c r="G40" i="54" s="1"/>
  <c r="B40" i="54"/>
  <c r="E49" i="29"/>
  <c r="F49" i="29" s="1"/>
  <c r="B49" i="29"/>
  <c r="D38" i="59"/>
  <c r="E38" i="59"/>
  <c r="E52" i="23"/>
  <c r="F52" i="23" s="1"/>
  <c r="B52" i="23"/>
  <c r="I41" i="48"/>
  <c r="E42" i="47"/>
  <c r="F42" i="47" s="1"/>
  <c r="B42" i="47"/>
  <c r="G46" i="37"/>
  <c r="I46" i="37" s="1"/>
  <c r="D47" i="37"/>
  <c r="E57" i="10"/>
  <c r="F57" i="10" s="1"/>
  <c r="B57" i="10"/>
  <c r="H38" i="58"/>
  <c r="I38" i="58" s="1"/>
  <c r="H46" i="38"/>
  <c r="I46" i="38" s="1"/>
  <c r="D47" i="38"/>
  <c r="E47" i="38"/>
  <c r="E50" i="24"/>
  <c r="F50" i="24" s="1"/>
  <c r="B50" i="24"/>
  <c r="I49" i="45"/>
  <c r="I51" i="23"/>
  <c r="E42" i="48"/>
  <c r="F42" i="48" s="1"/>
  <c r="B42" i="48"/>
  <c r="D51" i="45" l="1"/>
  <c r="H50" i="45"/>
  <c r="I50" i="45" s="1"/>
  <c r="D48" i="46"/>
  <c r="H47" i="46"/>
  <c r="I47" i="46" s="1"/>
  <c r="H42" i="49"/>
  <c r="F38" i="59"/>
  <c r="G38" i="59" s="1"/>
  <c r="G46" i="39"/>
  <c r="I46" i="39" s="1"/>
  <c r="D43" i="49"/>
  <c r="F43" i="49" s="1"/>
  <c r="G43" i="49" s="1"/>
  <c r="D50" i="44"/>
  <c r="F50" i="44" s="1"/>
  <c r="H50" i="44" s="1"/>
  <c r="G42" i="49"/>
  <c r="G49" i="44"/>
  <c r="H49" i="44"/>
  <c r="F45" i="13"/>
  <c r="G45" i="13" s="1"/>
  <c r="B45" i="13"/>
  <c r="I51" i="27"/>
  <c r="H41" i="57"/>
  <c r="I41" i="57" s="1"/>
  <c r="H52" i="23"/>
  <c r="G52" i="23"/>
  <c r="D53" i="23"/>
  <c r="E53" i="23"/>
  <c r="H49" i="29"/>
  <c r="D50" i="29"/>
  <c r="G49" i="29"/>
  <c r="E50" i="29"/>
  <c r="D58" i="7"/>
  <c r="H57" i="7"/>
  <c r="G57" i="7"/>
  <c r="H55" i="6"/>
  <c r="G55" i="6"/>
  <c r="D56" i="6"/>
  <c r="H42" i="47"/>
  <c r="D43" i="47"/>
  <c r="G42" i="47"/>
  <c r="H53" i="22"/>
  <c r="G53" i="22"/>
  <c r="D54" i="22"/>
  <c r="E54" i="22"/>
  <c r="H49" i="31"/>
  <c r="D50" i="31"/>
  <c r="G49" i="31"/>
  <c r="G54" i="5"/>
  <c r="H54" i="5"/>
  <c r="D55" i="5"/>
  <c r="G42" i="48"/>
  <c r="D43" i="48"/>
  <c r="H42" i="48"/>
  <c r="H57" i="10"/>
  <c r="D58" i="10"/>
  <c r="G57" i="10"/>
  <c r="D57" i="9"/>
  <c r="H56" i="9"/>
  <c r="G56" i="9"/>
  <c r="G45" i="40"/>
  <c r="D46" i="40"/>
  <c r="E46" i="40"/>
  <c r="G45" i="55"/>
  <c r="I45" i="55" s="1"/>
  <c r="D46" i="55"/>
  <c r="D51" i="24"/>
  <c r="H50" i="24"/>
  <c r="G50" i="24"/>
  <c r="H40" i="54"/>
  <c r="D41" i="54"/>
  <c r="E41" i="54"/>
  <c r="H45" i="40"/>
  <c r="G45" i="41"/>
  <c r="I45" i="41" s="1"/>
  <c r="F46" i="42"/>
  <c r="B46" i="42"/>
  <c r="F39" i="58"/>
  <c r="H39" i="58" s="1"/>
  <c r="B39" i="58"/>
  <c r="G56" i="11"/>
  <c r="H56" i="11"/>
  <c r="D57" i="11"/>
  <c r="E57" i="11"/>
  <c r="G45" i="43"/>
  <c r="I45" i="43" s="1"/>
  <c r="D46" i="43"/>
  <c r="E47" i="37"/>
  <c r="F47" i="37" s="1"/>
  <c r="G47" i="37" s="1"/>
  <c r="B47" i="37"/>
  <c r="E48" i="46"/>
  <c r="F48" i="46" s="1"/>
  <c r="H48" i="46" s="1"/>
  <c r="B48" i="46"/>
  <c r="D54" i="25"/>
  <c r="G53" i="25"/>
  <c r="H53" i="25"/>
  <c r="E54" i="25"/>
  <c r="G54" i="4"/>
  <c r="D55" i="4"/>
  <c r="H54" i="4"/>
  <c r="H54" i="3"/>
  <c r="D55" i="3"/>
  <c r="G54" i="3"/>
  <c r="D50" i="28"/>
  <c r="G49" i="28"/>
  <c r="H49" i="28"/>
  <c r="D46" i="41"/>
  <c r="E46" i="41"/>
  <c r="E51" i="45"/>
  <c r="F51" i="45" s="1"/>
  <c r="H51" i="45" s="1"/>
  <c r="B51" i="45"/>
  <c r="D39" i="59"/>
  <c r="E39" i="59"/>
  <c r="I40" i="54"/>
  <c r="D56" i="8"/>
  <c r="G55" i="8"/>
  <c r="H55" i="8"/>
  <c r="E56" i="8"/>
  <c r="I45" i="42"/>
  <c r="B47" i="38"/>
  <c r="F47" i="38"/>
  <c r="D48" i="38" s="1"/>
  <c r="B38" i="59"/>
  <c r="D47" i="39"/>
  <c r="E47" i="39"/>
  <c r="D42" i="57"/>
  <c r="E42" i="57"/>
  <c r="F52" i="27"/>
  <c r="B52" i="27"/>
  <c r="H48" i="30"/>
  <c r="D49" i="30"/>
  <c r="G48" i="30"/>
  <c r="E49" i="30"/>
  <c r="H38" i="59" l="1"/>
  <c r="B43" i="49"/>
  <c r="I42" i="49"/>
  <c r="I49" i="44"/>
  <c r="B50" i="44"/>
  <c r="G50" i="44"/>
  <c r="I50" i="44" s="1"/>
  <c r="I42" i="47"/>
  <c r="H45" i="13"/>
  <c r="I45" i="13" s="1"/>
  <c r="D46" i="13"/>
  <c r="E46" i="13"/>
  <c r="G47" i="38"/>
  <c r="I38" i="59"/>
  <c r="I50" i="24"/>
  <c r="I49" i="29"/>
  <c r="I53" i="22"/>
  <c r="I54" i="3"/>
  <c r="I54" i="4"/>
  <c r="I57" i="10"/>
  <c r="I45" i="40"/>
  <c r="I42" i="48"/>
  <c r="H46" i="42"/>
  <c r="D47" i="42"/>
  <c r="E47" i="42"/>
  <c r="F42" i="57"/>
  <c r="G42" i="57" s="1"/>
  <c r="E48" i="38"/>
  <c r="F48" i="38" s="1"/>
  <c r="B48" i="38"/>
  <c r="F39" i="59"/>
  <c r="H39" i="59" s="1"/>
  <c r="E55" i="3"/>
  <c r="F55" i="3" s="1"/>
  <c r="B55" i="3"/>
  <c r="D51" i="44"/>
  <c r="E51" i="44"/>
  <c r="I53" i="25"/>
  <c r="B57" i="11"/>
  <c r="F57" i="11"/>
  <c r="G46" i="42"/>
  <c r="E46" i="55"/>
  <c r="F46" i="55" s="1"/>
  <c r="G46" i="55" s="1"/>
  <c r="B46" i="55"/>
  <c r="E57" i="9"/>
  <c r="F57" i="9" s="1"/>
  <c r="B57" i="9"/>
  <c r="E55" i="5"/>
  <c r="F55" i="5" s="1"/>
  <c r="B55" i="5"/>
  <c r="F54" i="22"/>
  <c r="B54" i="22"/>
  <c r="E46" i="43"/>
  <c r="F46" i="43" s="1"/>
  <c r="H46" i="43" s="1"/>
  <c r="B46" i="43"/>
  <c r="B50" i="29"/>
  <c r="F50" i="29"/>
  <c r="E55" i="4"/>
  <c r="F55" i="4" s="1"/>
  <c r="B55" i="4"/>
  <c r="B42" i="57"/>
  <c r="B56" i="8"/>
  <c r="F56" i="8"/>
  <c r="B39" i="59"/>
  <c r="E50" i="28"/>
  <c r="F50" i="28" s="1"/>
  <c r="B50" i="28"/>
  <c r="I56" i="11"/>
  <c r="E56" i="6"/>
  <c r="F56" i="6" s="1"/>
  <c r="B56" i="6"/>
  <c r="D49" i="46"/>
  <c r="E49" i="46"/>
  <c r="E58" i="10"/>
  <c r="F58" i="10" s="1"/>
  <c r="B58" i="10"/>
  <c r="B49" i="30"/>
  <c r="F49" i="30"/>
  <c r="G39" i="58"/>
  <c r="I39" i="58" s="1"/>
  <c r="D40" i="58"/>
  <c r="E40" i="58"/>
  <c r="F47" i="39"/>
  <c r="G47" i="39" s="1"/>
  <c r="B47" i="39"/>
  <c r="F46" i="41"/>
  <c r="H46" i="41" s="1"/>
  <c r="B46" i="41"/>
  <c r="B46" i="40"/>
  <c r="F46" i="40"/>
  <c r="G46" i="40" s="1"/>
  <c r="E50" i="31"/>
  <c r="F50" i="31" s="1"/>
  <c r="B50" i="31"/>
  <c r="E43" i="47"/>
  <c r="F43" i="47" s="1"/>
  <c r="B43" i="47"/>
  <c r="F54" i="25"/>
  <c r="B54" i="25"/>
  <c r="G51" i="45"/>
  <c r="I51" i="45" s="1"/>
  <c r="D52" i="45"/>
  <c r="H47" i="37"/>
  <c r="I47" i="37" s="1"/>
  <c r="D48" i="37"/>
  <c r="E43" i="48"/>
  <c r="F43" i="48" s="1"/>
  <c r="B43" i="48"/>
  <c r="I49" i="31"/>
  <c r="I57" i="7"/>
  <c r="F53" i="23"/>
  <c r="B53" i="23"/>
  <c r="I48" i="30"/>
  <c r="F41" i="54"/>
  <c r="G41" i="54" s="1"/>
  <c r="B41" i="54"/>
  <c r="E58" i="7"/>
  <c r="F58" i="7" s="1"/>
  <c r="B58" i="7"/>
  <c r="E51" i="24"/>
  <c r="F51" i="24" s="1"/>
  <c r="B51" i="24"/>
  <c r="I55" i="6"/>
  <c r="D53" i="27"/>
  <c r="H52" i="27"/>
  <c r="G52" i="27"/>
  <c r="H47" i="38"/>
  <c r="I55" i="8"/>
  <c r="I49" i="28"/>
  <c r="H43" i="49"/>
  <c r="I43" i="49" s="1"/>
  <c r="D44" i="49"/>
  <c r="E44" i="49"/>
  <c r="G48" i="46"/>
  <c r="I48" i="46" s="1"/>
  <c r="I56" i="9"/>
  <c r="I52" i="23"/>
  <c r="H46" i="40" l="1"/>
  <c r="H42" i="57"/>
  <c r="F46" i="13"/>
  <c r="H46" i="13" s="1"/>
  <c r="G39" i="59"/>
  <c r="I39" i="59" s="1"/>
  <c r="I47" i="38"/>
  <c r="G46" i="13"/>
  <c r="B46" i="13"/>
  <c r="F49" i="46"/>
  <c r="D50" i="46" s="1"/>
  <c r="B50" i="46" s="1"/>
  <c r="I52" i="27"/>
  <c r="H48" i="38"/>
  <c r="D49" i="38"/>
  <c r="G48" i="38"/>
  <c r="H43" i="47"/>
  <c r="D44" i="47"/>
  <c r="G43" i="47"/>
  <c r="G57" i="9"/>
  <c r="D58" i="9"/>
  <c r="H57" i="9"/>
  <c r="D44" i="48"/>
  <c r="G43" i="48"/>
  <c r="H43" i="48"/>
  <c r="G56" i="6"/>
  <c r="D57" i="6"/>
  <c r="H56" i="6"/>
  <c r="E57" i="6"/>
  <c r="G50" i="28"/>
  <c r="D51" i="28"/>
  <c r="H50" i="28"/>
  <c r="E51" i="28"/>
  <c r="D59" i="7"/>
  <c r="G58" i="7"/>
  <c r="H58" i="7"/>
  <c r="G56" i="8"/>
  <c r="D57" i="8"/>
  <c r="H56" i="8"/>
  <c r="H50" i="29"/>
  <c r="D51" i="29"/>
  <c r="G50" i="29"/>
  <c r="E51" i="29"/>
  <c r="E53" i="27"/>
  <c r="F53" i="27" s="1"/>
  <c r="B53" i="27"/>
  <c r="I46" i="42"/>
  <c r="F51" i="44"/>
  <c r="G51" i="44" s="1"/>
  <c r="D40" i="59"/>
  <c r="E40" i="59"/>
  <c r="H53" i="23"/>
  <c r="D54" i="23"/>
  <c r="G53" i="23"/>
  <c r="B51" i="44"/>
  <c r="G46" i="41"/>
  <c r="I46" i="41" s="1"/>
  <c r="D47" i="41"/>
  <c r="D55" i="25"/>
  <c r="H54" i="25"/>
  <c r="G54" i="25"/>
  <c r="E55" i="25"/>
  <c r="I46" i="40"/>
  <c r="H55" i="4"/>
  <c r="G55" i="4"/>
  <c r="D56" i="4"/>
  <c r="G46" i="43"/>
  <c r="I46" i="43" s="1"/>
  <c r="D47" i="43"/>
  <c r="E47" i="43"/>
  <c r="D56" i="5"/>
  <c r="G55" i="5"/>
  <c r="H55" i="5"/>
  <c r="H46" i="55"/>
  <c r="I46" i="55" s="1"/>
  <c r="D47" i="55"/>
  <c r="H47" i="39"/>
  <c r="I47" i="39" s="1"/>
  <c r="D48" i="39"/>
  <c r="E48" i="39"/>
  <c r="D58" i="11"/>
  <c r="G57" i="11"/>
  <c r="H57" i="11"/>
  <c r="D56" i="3"/>
  <c r="G55" i="3"/>
  <c r="H55" i="3"/>
  <c r="E52" i="45"/>
  <c r="F52" i="45" s="1"/>
  <c r="B52" i="45"/>
  <c r="B40" i="58"/>
  <c r="F40" i="58"/>
  <c r="G54" i="22"/>
  <c r="H54" i="22"/>
  <c r="D55" i="22"/>
  <c r="E55" i="22"/>
  <c r="F44" i="49"/>
  <c r="G44" i="49" s="1"/>
  <c r="B44" i="49"/>
  <c r="H41" i="54"/>
  <c r="I41" i="54" s="1"/>
  <c r="D42" i="54"/>
  <c r="E42" i="54"/>
  <c r="E48" i="37"/>
  <c r="F48" i="37" s="1"/>
  <c r="B48" i="37"/>
  <c r="D47" i="40"/>
  <c r="E47" i="40"/>
  <c r="B49" i="46"/>
  <c r="D50" i="30"/>
  <c r="G49" i="30"/>
  <c r="H49" i="30"/>
  <c r="G51" i="24"/>
  <c r="H51" i="24"/>
  <c r="D52" i="24"/>
  <c r="G50" i="31"/>
  <c r="D51" i="31"/>
  <c r="H50" i="31"/>
  <c r="G58" i="10"/>
  <c r="H58" i="10"/>
  <c r="D59" i="10"/>
  <c r="I42" i="57"/>
  <c r="D43" i="57"/>
  <c r="E43" i="57"/>
  <c r="B47" i="42"/>
  <c r="F47" i="42"/>
  <c r="H47" i="42" s="1"/>
  <c r="D47" i="13" l="1"/>
  <c r="E47" i="13"/>
  <c r="I57" i="11"/>
  <c r="I46" i="13"/>
  <c r="H49" i="46"/>
  <c r="G49" i="46"/>
  <c r="B47" i="13"/>
  <c r="F47" i="13"/>
  <c r="H47" i="13" s="1"/>
  <c r="I50" i="29"/>
  <c r="E50" i="46"/>
  <c r="F50" i="46" s="1"/>
  <c r="G50" i="46" s="1"/>
  <c r="I55" i="3"/>
  <c r="I43" i="47"/>
  <c r="I54" i="22"/>
  <c r="I58" i="7"/>
  <c r="I56" i="8"/>
  <c r="I48" i="38"/>
  <c r="I54" i="25"/>
  <c r="I53" i="23"/>
  <c r="I49" i="30"/>
  <c r="I50" i="28"/>
  <c r="G52" i="45"/>
  <c r="D53" i="45"/>
  <c r="H52" i="45"/>
  <c r="H50" i="46"/>
  <c r="G48" i="37"/>
  <c r="D49" i="37"/>
  <c r="E49" i="37"/>
  <c r="E54" i="23"/>
  <c r="F54" i="23" s="1"/>
  <c r="B54" i="23"/>
  <c r="D52" i="44"/>
  <c r="E52" i="44"/>
  <c r="B55" i="22"/>
  <c r="F55" i="22"/>
  <c r="E56" i="5"/>
  <c r="F56" i="5" s="1"/>
  <c r="B56" i="5"/>
  <c r="E47" i="41"/>
  <c r="F47" i="41" s="1"/>
  <c r="G47" i="41" s="1"/>
  <c r="B47" i="41"/>
  <c r="H51" i="44"/>
  <c r="I51" i="44" s="1"/>
  <c r="G40" i="58"/>
  <c r="D41" i="58"/>
  <c r="E41" i="58"/>
  <c r="E58" i="11"/>
  <c r="F58" i="11" s="1"/>
  <c r="B58" i="11"/>
  <c r="E57" i="8"/>
  <c r="F57" i="8" s="1"/>
  <c r="B57" i="8"/>
  <c r="E59" i="10"/>
  <c r="F59" i="10" s="1"/>
  <c r="B59" i="10"/>
  <c r="I51" i="24"/>
  <c r="B47" i="40"/>
  <c r="F47" i="40"/>
  <c r="H47" i="40" s="1"/>
  <c r="F48" i="39"/>
  <c r="G48" i="39" s="1"/>
  <c r="B48" i="39"/>
  <c r="B47" i="43"/>
  <c r="F47" i="43"/>
  <c r="G47" i="43" s="1"/>
  <c r="B51" i="28"/>
  <c r="F51" i="28"/>
  <c r="G47" i="42"/>
  <c r="I47" i="42" s="1"/>
  <c r="D48" i="42"/>
  <c r="E48" i="42"/>
  <c r="E52" i="24"/>
  <c r="F52" i="24" s="1"/>
  <c r="B52" i="24"/>
  <c r="I58" i="10"/>
  <c r="F42" i="54"/>
  <c r="H42" i="54" s="1"/>
  <c r="B42" i="54"/>
  <c r="E56" i="3"/>
  <c r="F56" i="3" s="1"/>
  <c r="B56" i="3"/>
  <c r="G53" i="27"/>
  <c r="H53" i="27"/>
  <c r="D54" i="27"/>
  <c r="B54" i="27" s="1"/>
  <c r="E59" i="7"/>
  <c r="F59" i="7" s="1"/>
  <c r="B59" i="7"/>
  <c r="I43" i="48"/>
  <c r="E44" i="47"/>
  <c r="F44" i="47" s="1"/>
  <c r="B44" i="47"/>
  <c r="E49" i="38"/>
  <c r="F49" i="38" s="1"/>
  <c r="B49" i="38"/>
  <c r="H44" i="49"/>
  <c r="I44" i="49" s="1"/>
  <c r="D45" i="49"/>
  <c r="E45" i="49"/>
  <c r="E47" i="55"/>
  <c r="F47" i="55" s="1"/>
  <c r="B47" i="55"/>
  <c r="E56" i="4"/>
  <c r="F56" i="4" s="1"/>
  <c r="B56" i="4"/>
  <c r="H48" i="37"/>
  <c r="B55" i="25"/>
  <c r="F55" i="25"/>
  <c r="I56" i="6"/>
  <c r="E44" i="48"/>
  <c r="F44" i="48" s="1"/>
  <c r="H44" i="48" s="1"/>
  <c r="B44" i="48"/>
  <c r="I57" i="9"/>
  <c r="B43" i="57"/>
  <c r="F43" i="57"/>
  <c r="G43" i="57" s="1"/>
  <c r="I50" i="31"/>
  <c r="E51" i="31"/>
  <c r="F51" i="31" s="1"/>
  <c r="B51" i="31"/>
  <c r="E50" i="30"/>
  <c r="F50" i="30" s="1"/>
  <c r="B50" i="30"/>
  <c r="H40" i="58"/>
  <c r="I55" i="4"/>
  <c r="B40" i="59"/>
  <c r="F40" i="59"/>
  <c r="H40" i="59" s="1"/>
  <c r="B51" i="29"/>
  <c r="F51" i="29"/>
  <c r="F57" i="6"/>
  <c r="B57" i="6"/>
  <c r="E58" i="9"/>
  <c r="F58" i="9" s="1"/>
  <c r="B58" i="9"/>
  <c r="F52" i="44" l="1"/>
  <c r="D51" i="46"/>
  <c r="I52" i="45"/>
  <c r="H47" i="43"/>
  <c r="I47" i="43" s="1"/>
  <c r="E48" i="13"/>
  <c r="D48" i="13"/>
  <c r="G47" i="13"/>
  <c r="I47" i="13" s="1"/>
  <c r="I40" i="58"/>
  <c r="I49" i="46"/>
  <c r="G40" i="59"/>
  <c r="I40" i="59" s="1"/>
  <c r="F41" i="58"/>
  <c r="H41" i="58" s="1"/>
  <c r="I48" i="37"/>
  <c r="H59" i="7"/>
  <c r="D60" i="7"/>
  <c r="G59" i="7"/>
  <c r="D60" i="10"/>
  <c r="H59" i="10"/>
  <c r="G59" i="10"/>
  <c r="D55" i="23"/>
  <c r="G54" i="23"/>
  <c r="H54" i="23"/>
  <c r="E55" i="23"/>
  <c r="D57" i="3"/>
  <c r="H56" i="3"/>
  <c r="G56" i="3"/>
  <c r="G44" i="47"/>
  <c r="D45" i="47"/>
  <c r="H44" i="47"/>
  <c r="D59" i="9"/>
  <c r="H58" i="9"/>
  <c r="G58" i="9"/>
  <c r="D58" i="8"/>
  <c r="H57" i="8"/>
  <c r="G57" i="8"/>
  <c r="D44" i="57"/>
  <c r="E44" i="57"/>
  <c r="D57" i="4"/>
  <c r="G56" i="4"/>
  <c r="H56" i="4"/>
  <c r="I50" i="46"/>
  <c r="H47" i="55"/>
  <c r="D48" i="55"/>
  <c r="B45" i="49"/>
  <c r="F45" i="49"/>
  <c r="G45" i="49" s="1"/>
  <c r="H49" i="38"/>
  <c r="D50" i="38"/>
  <c r="E50" i="38"/>
  <c r="H55" i="22"/>
  <c r="D56" i="22"/>
  <c r="G55" i="22"/>
  <c r="E56" i="22"/>
  <c r="D51" i="30"/>
  <c r="G50" i="30"/>
  <c r="H50" i="30"/>
  <c r="E51" i="30"/>
  <c r="G56" i="5"/>
  <c r="H56" i="5"/>
  <c r="D57" i="5"/>
  <c r="H43" i="57"/>
  <c r="I43" i="57" s="1"/>
  <c r="H57" i="6"/>
  <c r="D58" i="6"/>
  <c r="G57" i="6"/>
  <c r="G44" i="48"/>
  <c r="I44" i="48" s="1"/>
  <c r="D45" i="48"/>
  <c r="E54" i="27"/>
  <c r="F54" i="27" s="1"/>
  <c r="B41" i="58"/>
  <c r="E51" i="46"/>
  <c r="F51" i="46" s="1"/>
  <c r="H51" i="46" s="1"/>
  <c r="B51" i="46"/>
  <c r="E53" i="45"/>
  <c r="F53" i="45" s="1"/>
  <c r="H53" i="45" s="1"/>
  <c r="B53" i="45"/>
  <c r="H52" i="24"/>
  <c r="G52" i="24"/>
  <c r="D53" i="24"/>
  <c r="G51" i="28"/>
  <c r="H51" i="28"/>
  <c r="D52" i="28"/>
  <c r="E52" i="28"/>
  <c r="H47" i="41"/>
  <c r="I47" i="41" s="1"/>
  <c r="D48" i="41"/>
  <c r="E48" i="41"/>
  <c r="D53" i="44"/>
  <c r="E53" i="44"/>
  <c r="G55" i="25"/>
  <c r="H55" i="25"/>
  <c r="D56" i="25"/>
  <c r="E56" i="25"/>
  <c r="H48" i="39"/>
  <c r="I48" i="39" s="1"/>
  <c r="D49" i="39"/>
  <c r="E49" i="39"/>
  <c r="H51" i="29"/>
  <c r="D52" i="29"/>
  <c r="G51" i="29"/>
  <c r="E52" i="29"/>
  <c r="G47" i="55"/>
  <c r="G49" i="38"/>
  <c r="I49" i="38" s="1"/>
  <c r="I53" i="27"/>
  <c r="D48" i="43"/>
  <c r="E48" i="43"/>
  <c r="G47" i="40"/>
  <c r="I47" i="40" s="1"/>
  <c r="D48" i="40"/>
  <c r="B52" i="44"/>
  <c r="G52" i="44"/>
  <c r="H52" i="44"/>
  <c r="G42" i="54"/>
  <c r="I42" i="54" s="1"/>
  <c r="D43" i="54"/>
  <c r="E43" i="54"/>
  <c r="D41" i="59"/>
  <c r="E41" i="59"/>
  <c r="D52" i="31"/>
  <c r="H51" i="31"/>
  <c r="G51" i="31"/>
  <c r="E52" i="31"/>
  <c r="F48" i="42"/>
  <c r="D49" i="42" s="1"/>
  <c r="B48" i="42"/>
  <c r="G58" i="11"/>
  <c r="D59" i="11"/>
  <c r="H58" i="11"/>
  <c r="B49" i="37"/>
  <c r="F49" i="37"/>
  <c r="G49" i="37" s="1"/>
  <c r="I47" i="55" l="1"/>
  <c r="I44" i="47"/>
  <c r="I51" i="31"/>
  <c r="H48" i="42"/>
  <c r="G41" i="58"/>
  <c r="I41" i="58" s="1"/>
  <c r="E42" i="58"/>
  <c r="G48" i="42"/>
  <c r="D42" i="58"/>
  <c r="B48" i="13"/>
  <c r="F48" i="13"/>
  <c r="G48" i="13" s="1"/>
  <c r="I51" i="28"/>
  <c r="F53" i="44"/>
  <c r="D54" i="44" s="1"/>
  <c r="I52" i="24"/>
  <c r="I58" i="9"/>
  <c r="I58" i="11"/>
  <c r="I52" i="44"/>
  <c r="I55" i="25"/>
  <c r="E58" i="6"/>
  <c r="B58" i="6"/>
  <c r="F58" i="6"/>
  <c r="H45" i="49"/>
  <c r="I45" i="49" s="1"/>
  <c r="D46" i="49"/>
  <c r="E46" i="49"/>
  <c r="E59" i="11"/>
  <c r="F59" i="11" s="1"/>
  <c r="B59" i="11"/>
  <c r="H49" i="37"/>
  <c r="D50" i="37"/>
  <c r="E50" i="37"/>
  <c r="F41" i="59"/>
  <c r="G41" i="59" s="1"/>
  <c r="I51" i="29"/>
  <c r="B48" i="41"/>
  <c r="F48" i="41"/>
  <c r="G48" i="41" s="1"/>
  <c r="E53" i="24"/>
  <c r="F53" i="24" s="1"/>
  <c r="B53" i="24"/>
  <c r="B50" i="38"/>
  <c r="F50" i="38"/>
  <c r="H50" i="38" s="1"/>
  <c r="E58" i="8"/>
  <c r="F58" i="8" s="1"/>
  <c r="B58" i="8"/>
  <c r="E48" i="40"/>
  <c r="F48" i="40" s="1"/>
  <c r="B48" i="40"/>
  <c r="B41" i="59"/>
  <c r="H54" i="27"/>
  <c r="D55" i="27"/>
  <c r="B55" i="27" s="1"/>
  <c r="G54" i="27"/>
  <c r="E57" i="4"/>
  <c r="F57" i="4" s="1"/>
  <c r="B57" i="4"/>
  <c r="B55" i="23"/>
  <c r="F55" i="23"/>
  <c r="B43" i="54"/>
  <c r="F43" i="54"/>
  <c r="H43" i="54" s="1"/>
  <c r="F52" i="28"/>
  <c r="B52" i="28"/>
  <c r="G53" i="45"/>
  <c r="I53" i="45" s="1"/>
  <c r="D54" i="45"/>
  <c r="E45" i="48"/>
  <c r="F45" i="48" s="1"/>
  <c r="G45" i="48" s="1"/>
  <c r="B45" i="48"/>
  <c r="I57" i="6"/>
  <c r="E60" i="10"/>
  <c r="F60" i="10" s="1"/>
  <c r="B60" i="10"/>
  <c r="F48" i="43"/>
  <c r="G48" i="43" s="1"/>
  <c r="B48" i="43"/>
  <c r="B56" i="25"/>
  <c r="F56" i="25"/>
  <c r="I50" i="30"/>
  <c r="E48" i="55"/>
  <c r="F48" i="55" s="1"/>
  <c r="G48" i="55" s="1"/>
  <c r="B48" i="55"/>
  <c r="F44" i="57"/>
  <c r="H44" i="57" s="1"/>
  <c r="E45" i="47"/>
  <c r="F45" i="47" s="1"/>
  <c r="B45" i="47"/>
  <c r="I56" i="3"/>
  <c r="D52" i="46"/>
  <c r="E52" i="46"/>
  <c r="E49" i="42"/>
  <c r="F49" i="42" s="1"/>
  <c r="H49" i="42" s="1"/>
  <c r="B49" i="42"/>
  <c r="F52" i="31"/>
  <c r="B52" i="31"/>
  <c r="B53" i="44"/>
  <c r="B56" i="22"/>
  <c r="F56" i="22"/>
  <c r="B44" i="57"/>
  <c r="E57" i="3"/>
  <c r="F57" i="3" s="1"/>
  <c r="B57" i="3"/>
  <c r="E60" i="7"/>
  <c r="F60" i="7" s="1"/>
  <c r="B60" i="7"/>
  <c r="F49" i="39"/>
  <c r="G49" i="39" s="1"/>
  <c r="B49" i="39"/>
  <c r="E59" i="9"/>
  <c r="F59" i="9" s="1"/>
  <c r="B59" i="9"/>
  <c r="I59" i="10"/>
  <c r="I49" i="37"/>
  <c r="F52" i="29"/>
  <c r="B52" i="29"/>
  <c r="G51" i="46"/>
  <c r="I51" i="46" s="1"/>
  <c r="E57" i="5"/>
  <c r="F57" i="5" s="1"/>
  <c r="B57" i="5"/>
  <c r="B51" i="30"/>
  <c r="F51" i="30"/>
  <c r="I55" i="22"/>
  <c r="I56" i="4"/>
  <c r="I57" i="8"/>
  <c r="I54" i="23"/>
  <c r="I59" i="7"/>
  <c r="H41" i="59" l="1"/>
  <c r="G53" i="44"/>
  <c r="F42" i="58"/>
  <c r="I48" i="42"/>
  <c r="B42" i="58"/>
  <c r="E55" i="27"/>
  <c r="F55" i="27" s="1"/>
  <c r="F52" i="46"/>
  <c r="D53" i="46" s="1"/>
  <c r="B53" i="46" s="1"/>
  <c r="E54" i="44"/>
  <c r="F54" i="44" s="1"/>
  <c r="H54" i="44" s="1"/>
  <c r="H53" i="44"/>
  <c r="E49" i="13"/>
  <c r="D49" i="13"/>
  <c r="H48" i="13"/>
  <c r="I48" i="13" s="1"/>
  <c r="H49" i="39"/>
  <c r="I49" i="39" s="1"/>
  <c r="G48" i="40"/>
  <c r="D49" i="40"/>
  <c r="E49" i="40"/>
  <c r="H48" i="40"/>
  <c r="H59" i="11"/>
  <c r="D60" i="11"/>
  <c r="G59" i="11"/>
  <c r="H58" i="8"/>
  <c r="D59" i="8"/>
  <c r="G58" i="8"/>
  <c r="D61" i="7"/>
  <c r="G60" i="7"/>
  <c r="H60" i="7"/>
  <c r="H45" i="47"/>
  <c r="D46" i="47"/>
  <c r="G45" i="47"/>
  <c r="B54" i="44"/>
  <c r="D50" i="39"/>
  <c r="E50" i="39"/>
  <c r="G44" i="57"/>
  <c r="I44" i="57" s="1"/>
  <c r="D45" i="57"/>
  <c r="E45" i="57"/>
  <c r="I41" i="59"/>
  <c r="B46" i="49"/>
  <c r="D50" i="42"/>
  <c r="E50" i="42"/>
  <c r="H42" i="58"/>
  <c r="D43" i="58"/>
  <c r="E43" i="58"/>
  <c r="G49" i="42"/>
  <c r="I49" i="42" s="1"/>
  <c r="E54" i="45"/>
  <c r="F54" i="45" s="1"/>
  <c r="H54" i="45" s="1"/>
  <c r="B54" i="45"/>
  <c r="D58" i="4"/>
  <c r="H57" i="4"/>
  <c r="G57" i="4"/>
  <c r="D57" i="25"/>
  <c r="G56" i="25"/>
  <c r="H56" i="25"/>
  <c r="H60" i="10"/>
  <c r="G60" i="10"/>
  <c r="D61" i="10"/>
  <c r="D59" i="6"/>
  <c r="H58" i="6"/>
  <c r="G58" i="6"/>
  <c r="H57" i="3"/>
  <c r="D58" i="3"/>
  <c r="G57" i="3"/>
  <c r="H48" i="43"/>
  <c r="I48" i="43" s="1"/>
  <c r="D49" i="43"/>
  <c r="E49" i="43"/>
  <c r="G52" i="28"/>
  <c r="D53" i="28"/>
  <c r="H52" i="28"/>
  <c r="E53" i="28"/>
  <c r="D56" i="27"/>
  <c r="G55" i="27"/>
  <c r="H55" i="27"/>
  <c r="D42" i="59"/>
  <c r="E42" i="59"/>
  <c r="G51" i="30"/>
  <c r="D52" i="30"/>
  <c r="H51" i="30"/>
  <c r="E52" i="30"/>
  <c r="H48" i="55"/>
  <c r="I48" i="55" s="1"/>
  <c r="D49" i="55"/>
  <c r="G55" i="23"/>
  <c r="H55" i="23"/>
  <c r="D56" i="23"/>
  <c r="E56" i="23"/>
  <c r="H57" i="5"/>
  <c r="D58" i="5"/>
  <c r="G57" i="5"/>
  <c r="I53" i="44"/>
  <c r="B52" i="46"/>
  <c r="G52" i="46"/>
  <c r="D60" i="9"/>
  <c r="H59" i="9"/>
  <c r="G59" i="9"/>
  <c r="D57" i="22"/>
  <c r="H56" i="22"/>
  <c r="G56" i="22"/>
  <c r="D53" i="31"/>
  <c r="G52" i="31"/>
  <c r="H52" i="31"/>
  <c r="G43" i="54"/>
  <c r="I43" i="54" s="1"/>
  <c r="D44" i="54"/>
  <c r="E44" i="54"/>
  <c r="F50" i="37"/>
  <c r="G50" i="37" s="1"/>
  <c r="B50" i="37"/>
  <c r="H52" i="29"/>
  <c r="G52" i="29"/>
  <c r="D53" i="29"/>
  <c r="E53" i="29"/>
  <c r="H45" i="48"/>
  <c r="I45" i="48" s="1"/>
  <c r="D46" i="48"/>
  <c r="G50" i="38"/>
  <c r="I50" i="38" s="1"/>
  <c r="D51" i="38"/>
  <c r="H53" i="24"/>
  <c r="D54" i="24"/>
  <c r="G53" i="24"/>
  <c r="E54" i="24"/>
  <c r="G42" i="58"/>
  <c r="I54" i="27"/>
  <c r="H48" i="41"/>
  <c r="I48" i="41" s="1"/>
  <c r="D49" i="41"/>
  <c r="E49" i="41"/>
  <c r="F46" i="49"/>
  <c r="E53" i="46" l="1"/>
  <c r="F53" i="46" s="1"/>
  <c r="H52" i="46"/>
  <c r="I55" i="23"/>
  <c r="I56" i="25"/>
  <c r="F49" i="13"/>
  <c r="G49" i="13" s="1"/>
  <c r="B49" i="13"/>
  <c r="I59" i="11"/>
  <c r="I48" i="40"/>
  <c r="I57" i="4"/>
  <c r="I56" i="22"/>
  <c r="I45" i="47"/>
  <c r="I52" i="46"/>
  <c r="I55" i="27"/>
  <c r="I60" i="10"/>
  <c r="I59" i="9"/>
  <c r="I53" i="24"/>
  <c r="D54" i="46"/>
  <c r="E54" i="46"/>
  <c r="G53" i="46"/>
  <c r="H53" i="46"/>
  <c r="I51" i="30"/>
  <c r="E56" i="27"/>
  <c r="F56" i="27" s="1"/>
  <c r="B56" i="27"/>
  <c r="E61" i="10"/>
  <c r="F61" i="10" s="1"/>
  <c r="B61" i="10"/>
  <c r="I60" i="7"/>
  <c r="E60" i="11"/>
  <c r="F60" i="11" s="1"/>
  <c r="B60" i="11"/>
  <c r="D47" i="49"/>
  <c r="E47" i="49"/>
  <c r="I42" i="58"/>
  <c r="E51" i="38"/>
  <c r="F51" i="38" s="1"/>
  <c r="B51" i="38"/>
  <c r="I52" i="31"/>
  <c r="E60" i="9"/>
  <c r="F60" i="9" s="1"/>
  <c r="B60" i="9"/>
  <c r="E58" i="5"/>
  <c r="F58" i="5" s="1"/>
  <c r="B58" i="5"/>
  <c r="E49" i="55"/>
  <c r="F49" i="55" s="1"/>
  <c r="G49" i="55" s="1"/>
  <c r="B49" i="55"/>
  <c r="B52" i="30"/>
  <c r="F52" i="30"/>
  <c r="D55" i="44"/>
  <c r="E55" i="44"/>
  <c r="F43" i="58"/>
  <c r="H43" i="58" s="1"/>
  <c r="B43" i="58"/>
  <c r="G54" i="44"/>
  <c r="I54" i="44" s="1"/>
  <c r="B49" i="43"/>
  <c r="F49" i="43"/>
  <c r="G49" i="43" s="1"/>
  <c r="F50" i="39"/>
  <c r="G50" i="39" s="1"/>
  <c r="B50" i="39"/>
  <c r="E46" i="47"/>
  <c r="F46" i="47" s="1"/>
  <c r="H46" i="47" s="1"/>
  <c r="B46" i="47"/>
  <c r="I52" i="28"/>
  <c r="G46" i="49"/>
  <c r="F49" i="40"/>
  <c r="H49" i="40" s="1"/>
  <c r="B49" i="40"/>
  <c r="E61" i="7"/>
  <c r="F61" i="7" s="1"/>
  <c r="B61" i="7"/>
  <c r="E53" i="31"/>
  <c r="F53" i="31" s="1"/>
  <c r="B53" i="31"/>
  <c r="E58" i="4"/>
  <c r="F58" i="4" s="1"/>
  <c r="B58" i="4"/>
  <c r="F53" i="29"/>
  <c r="B53" i="29"/>
  <c r="F53" i="28"/>
  <c r="B53" i="28"/>
  <c r="E57" i="25"/>
  <c r="F57" i="25" s="1"/>
  <c r="B57" i="25"/>
  <c r="G54" i="45"/>
  <c r="I54" i="45" s="1"/>
  <c r="D55" i="45"/>
  <c r="H46" i="49"/>
  <c r="E59" i="8"/>
  <c r="F59" i="8" s="1"/>
  <c r="B59" i="8"/>
  <c r="F45" i="57"/>
  <c r="G45" i="57" s="1"/>
  <c r="B45" i="57"/>
  <c r="F49" i="41"/>
  <c r="H49" i="41" s="1"/>
  <c r="B49" i="41"/>
  <c r="E46" i="48"/>
  <c r="F46" i="48" s="1"/>
  <c r="B46" i="48"/>
  <c r="B44" i="54"/>
  <c r="F44" i="54"/>
  <c r="G44" i="54" s="1"/>
  <c r="F42" i="59"/>
  <c r="H42" i="59" s="1"/>
  <c r="B42" i="59"/>
  <c r="B50" i="42"/>
  <c r="F50" i="42"/>
  <c r="G50" i="42" s="1"/>
  <c r="E57" i="22"/>
  <c r="F57" i="22" s="1"/>
  <c r="B57" i="22"/>
  <c r="E58" i="3"/>
  <c r="F58" i="3" s="1"/>
  <c r="B58" i="3"/>
  <c r="I58" i="6"/>
  <c r="I58" i="8"/>
  <c r="B56" i="23"/>
  <c r="F56" i="23"/>
  <c r="F54" i="24"/>
  <c r="B54" i="24"/>
  <c r="I52" i="29"/>
  <c r="H50" i="37"/>
  <c r="I50" i="37" s="1"/>
  <c r="D51" i="37"/>
  <c r="I57" i="3"/>
  <c r="E59" i="6"/>
  <c r="F59" i="6" s="1"/>
  <c r="B59" i="6"/>
  <c r="H49" i="13" l="1"/>
  <c r="I49" i="13" s="1"/>
  <c r="I53" i="46"/>
  <c r="I46" i="49"/>
  <c r="D50" i="13"/>
  <c r="E50" i="13"/>
  <c r="H45" i="57"/>
  <c r="I45" i="57" s="1"/>
  <c r="G43" i="58"/>
  <c r="I43" i="58" s="1"/>
  <c r="F54" i="46"/>
  <c r="H54" i="46" s="1"/>
  <c r="D61" i="9"/>
  <c r="G60" i="9"/>
  <c r="H60" i="9"/>
  <c r="D62" i="10"/>
  <c r="G61" i="10"/>
  <c r="H61" i="10"/>
  <c r="H58" i="5"/>
  <c r="D59" i="5"/>
  <c r="G58" i="5"/>
  <c r="G51" i="38"/>
  <c r="D52" i="38"/>
  <c r="E52" i="38"/>
  <c r="H51" i="38"/>
  <c r="D47" i="48"/>
  <c r="H46" i="48"/>
  <c r="G46" i="48"/>
  <c r="H59" i="8"/>
  <c r="D60" i="8"/>
  <c r="G59" i="8"/>
  <c r="H58" i="3"/>
  <c r="D59" i="3"/>
  <c r="G58" i="3"/>
  <c r="G58" i="4"/>
  <c r="H58" i="4"/>
  <c r="D59" i="4"/>
  <c r="G42" i="59"/>
  <c r="I42" i="59" s="1"/>
  <c r="G53" i="31"/>
  <c r="D54" i="31"/>
  <c r="H53" i="31"/>
  <c r="H49" i="43"/>
  <c r="I49" i="43" s="1"/>
  <c r="D50" i="43"/>
  <c r="D53" i="30"/>
  <c r="G52" i="30"/>
  <c r="H52" i="30"/>
  <c r="E53" i="30"/>
  <c r="F47" i="49"/>
  <c r="B47" i="49"/>
  <c r="B54" i="46"/>
  <c r="G54" i="24"/>
  <c r="D55" i="24"/>
  <c r="H54" i="24"/>
  <c r="E55" i="24"/>
  <c r="E55" i="45"/>
  <c r="F55" i="45" s="1"/>
  <c r="B55" i="45"/>
  <c r="H50" i="42"/>
  <c r="I50" i="42" s="1"/>
  <c r="D51" i="42"/>
  <c r="E51" i="42"/>
  <c r="D46" i="57"/>
  <c r="E46" i="57"/>
  <c r="D54" i="29"/>
  <c r="G53" i="29"/>
  <c r="H53" i="29"/>
  <c r="E54" i="29"/>
  <c r="G59" i="6"/>
  <c r="H59" i="6"/>
  <c r="D60" i="6"/>
  <c r="D43" i="59"/>
  <c r="E43" i="59"/>
  <c r="H53" i="28"/>
  <c r="D54" i="28"/>
  <c r="G53" i="28"/>
  <c r="E51" i="37"/>
  <c r="F51" i="37" s="1"/>
  <c r="B51" i="37"/>
  <c r="H57" i="25"/>
  <c r="G57" i="25"/>
  <c r="D58" i="25"/>
  <c r="G61" i="7"/>
  <c r="H61" i="7"/>
  <c r="D62" i="7"/>
  <c r="G49" i="40"/>
  <c r="I49" i="40" s="1"/>
  <c r="D50" i="40"/>
  <c r="G46" i="47"/>
  <c r="I46" i="47" s="1"/>
  <c r="D47" i="47"/>
  <c r="H49" i="55"/>
  <c r="I49" i="55" s="1"/>
  <c r="D50" i="55"/>
  <c r="G57" i="22"/>
  <c r="D58" i="22"/>
  <c r="H57" i="22"/>
  <c r="H50" i="39"/>
  <c r="I50" i="39" s="1"/>
  <c r="D51" i="39"/>
  <c r="E51" i="39"/>
  <c r="H44" i="54"/>
  <c r="I44" i="54" s="1"/>
  <c r="D45" i="54"/>
  <c r="E45" i="54"/>
  <c r="D44" i="58"/>
  <c r="E44" i="58"/>
  <c r="H60" i="11"/>
  <c r="D61" i="11"/>
  <c r="G60" i="11"/>
  <c r="D57" i="27"/>
  <c r="B57" i="27" s="1"/>
  <c r="H56" i="27"/>
  <c r="G56" i="27"/>
  <c r="B55" i="44"/>
  <c r="G56" i="23"/>
  <c r="H56" i="23"/>
  <c r="D57" i="23"/>
  <c r="G49" i="41"/>
  <c r="I49" i="41" s="1"/>
  <c r="D50" i="41"/>
  <c r="F55" i="44"/>
  <c r="G55" i="44" s="1"/>
  <c r="G54" i="46" l="1"/>
  <c r="I60" i="9"/>
  <c r="F50" i="13"/>
  <c r="G50" i="13" s="1"/>
  <c r="D55" i="46"/>
  <c r="E55" i="46" s="1"/>
  <c r="B50" i="13"/>
  <c r="I54" i="24"/>
  <c r="I58" i="4"/>
  <c r="I61" i="10"/>
  <c r="F44" i="58"/>
  <c r="D45" i="58" s="1"/>
  <c r="F46" i="57"/>
  <c r="G46" i="57" s="1"/>
  <c r="I56" i="27"/>
  <c r="I51" i="38"/>
  <c r="D56" i="45"/>
  <c r="G55" i="45"/>
  <c r="H55" i="45"/>
  <c r="H51" i="37"/>
  <c r="D52" i="37"/>
  <c r="G51" i="37"/>
  <c r="H44" i="58"/>
  <c r="B44" i="58"/>
  <c r="B51" i="39"/>
  <c r="F51" i="39"/>
  <c r="D52" i="39" s="1"/>
  <c r="D48" i="49"/>
  <c r="E48" i="49"/>
  <c r="E50" i="43"/>
  <c r="F50" i="43" s="1"/>
  <c r="H50" i="43" s="1"/>
  <c r="B50" i="43"/>
  <c r="E59" i="3"/>
  <c r="F59" i="3" s="1"/>
  <c r="B59" i="3"/>
  <c r="I46" i="48"/>
  <c r="E54" i="28"/>
  <c r="F54" i="28" s="1"/>
  <c r="B54" i="28"/>
  <c r="F51" i="42"/>
  <c r="H51" i="42" s="1"/>
  <c r="B51" i="42"/>
  <c r="D56" i="44"/>
  <c r="E56" i="44" s="1"/>
  <c r="F56" i="44" s="1"/>
  <c r="H55" i="44"/>
  <c r="I55" i="44" s="1"/>
  <c r="I60" i="11"/>
  <c r="F45" i="54"/>
  <c r="G45" i="54" s="1"/>
  <c r="B45" i="54"/>
  <c r="E50" i="40"/>
  <c r="F50" i="40" s="1"/>
  <c r="G50" i="40" s="1"/>
  <c r="B50" i="40"/>
  <c r="E58" i="25"/>
  <c r="F58" i="25" s="1"/>
  <c r="B58" i="25"/>
  <c r="I53" i="28"/>
  <c r="I53" i="29"/>
  <c r="B46" i="57"/>
  <c r="H46" i="57"/>
  <c r="I52" i="30"/>
  <c r="I59" i="8"/>
  <c r="E59" i="5"/>
  <c r="F59" i="5" s="1"/>
  <c r="B59" i="5"/>
  <c r="E60" i="8"/>
  <c r="F60" i="8" s="1"/>
  <c r="B60" i="8"/>
  <c r="B55" i="24"/>
  <c r="F55" i="24"/>
  <c r="E59" i="4"/>
  <c r="F59" i="4" s="1"/>
  <c r="B59" i="4"/>
  <c r="E62" i="10"/>
  <c r="F62" i="10" s="1"/>
  <c r="B62" i="10"/>
  <c r="E61" i="11"/>
  <c r="F61" i="11" s="1"/>
  <c r="B61" i="11"/>
  <c r="I58" i="3"/>
  <c r="E57" i="23"/>
  <c r="F57" i="23" s="1"/>
  <c r="B57" i="23"/>
  <c r="E57" i="27"/>
  <c r="F57" i="27" s="1"/>
  <c r="I57" i="22"/>
  <c r="E47" i="47"/>
  <c r="F47" i="47" s="1"/>
  <c r="G47" i="47" s="1"/>
  <c r="B47" i="47"/>
  <c r="E62" i="7"/>
  <c r="F62" i="7" s="1"/>
  <c r="B62" i="7"/>
  <c r="I57" i="25"/>
  <c r="B54" i="29"/>
  <c r="F54" i="29"/>
  <c r="F53" i="30"/>
  <c r="B53" i="30"/>
  <c r="D47" i="57"/>
  <c r="E47" i="57"/>
  <c r="E47" i="48"/>
  <c r="F47" i="48" s="1"/>
  <c r="G47" i="48" s="1"/>
  <c r="B47" i="48"/>
  <c r="E50" i="41"/>
  <c r="F50" i="41" s="1"/>
  <c r="B50" i="41"/>
  <c r="I56" i="23"/>
  <c r="E58" i="22"/>
  <c r="F58" i="22" s="1"/>
  <c r="B58" i="22"/>
  <c r="I61" i="7"/>
  <c r="B43" i="59"/>
  <c r="F43" i="59"/>
  <c r="H43" i="59" s="1"/>
  <c r="E60" i="6"/>
  <c r="F60" i="6" s="1"/>
  <c r="B60" i="6"/>
  <c r="I54" i="46"/>
  <c r="G47" i="49"/>
  <c r="I53" i="31"/>
  <c r="F52" i="38"/>
  <c r="G52" i="38" s="1"/>
  <c r="B52" i="38"/>
  <c r="E50" i="55"/>
  <c r="F50" i="55" s="1"/>
  <c r="H50" i="55" s="1"/>
  <c r="B50" i="55"/>
  <c r="I59" i="6"/>
  <c r="H47" i="49"/>
  <c r="E54" i="31"/>
  <c r="F54" i="31" s="1"/>
  <c r="B54" i="31"/>
  <c r="E61" i="9"/>
  <c r="F61" i="9" s="1"/>
  <c r="B61" i="9"/>
  <c r="B55" i="46" l="1"/>
  <c r="H50" i="13"/>
  <c r="F55" i="46"/>
  <c r="D56" i="46" s="1"/>
  <c r="B56" i="46" s="1"/>
  <c r="E51" i="13"/>
  <c r="D51" i="13"/>
  <c r="B51" i="13" s="1"/>
  <c r="H55" i="46"/>
  <c r="I55" i="46" s="1"/>
  <c r="G55" i="46"/>
  <c r="G44" i="58"/>
  <c r="I50" i="13"/>
  <c r="I47" i="49"/>
  <c r="H51" i="39"/>
  <c r="E45" i="58"/>
  <c r="F45" i="58" s="1"/>
  <c r="I55" i="45"/>
  <c r="H61" i="9"/>
  <c r="D62" i="9"/>
  <c r="G61" i="9"/>
  <c r="G59" i="4"/>
  <c r="D60" i="4"/>
  <c r="H59" i="4"/>
  <c r="G62" i="10"/>
  <c r="D63" i="10"/>
  <c r="H62" i="10"/>
  <c r="G62" i="7"/>
  <c r="D63" i="7"/>
  <c r="H62" i="7"/>
  <c r="D55" i="28"/>
  <c r="H54" i="28"/>
  <c r="G54" i="28"/>
  <c r="G59" i="3"/>
  <c r="D60" i="3"/>
  <c r="H59" i="3"/>
  <c r="H50" i="41"/>
  <c r="D51" i="41"/>
  <c r="E51" i="41"/>
  <c r="G50" i="41"/>
  <c r="D59" i="22"/>
  <c r="H58" i="22"/>
  <c r="G58" i="22"/>
  <c r="D51" i="55"/>
  <c r="E51" i="55" s="1"/>
  <c r="F51" i="55" s="1"/>
  <c r="G50" i="55"/>
  <c r="I50" i="55" s="1"/>
  <c r="I46" i="57"/>
  <c r="B45" i="58"/>
  <c r="I51" i="37"/>
  <c r="G51" i="39"/>
  <c r="I51" i="39" s="1"/>
  <c r="E52" i="37"/>
  <c r="F52" i="37" s="1"/>
  <c r="H52" i="37" s="1"/>
  <c r="B52" i="37"/>
  <c r="D54" i="30"/>
  <c r="G53" i="30"/>
  <c r="H53" i="30"/>
  <c r="E54" i="30"/>
  <c r="G50" i="43"/>
  <c r="I50" i="43" s="1"/>
  <c r="D51" i="43"/>
  <c r="E51" i="43"/>
  <c r="H47" i="48"/>
  <c r="I47" i="48" s="1"/>
  <c r="D48" i="48"/>
  <c r="D58" i="27"/>
  <c r="G57" i="27"/>
  <c r="H57" i="27"/>
  <c r="G59" i="5"/>
  <c r="D60" i="5"/>
  <c r="H59" i="5"/>
  <c r="E52" i="39"/>
  <c r="F52" i="39" s="1"/>
  <c r="G52" i="39" s="1"/>
  <c r="B52" i="39"/>
  <c r="F48" i="49"/>
  <c r="G48" i="49" s="1"/>
  <c r="H60" i="6"/>
  <c r="D61" i="6"/>
  <c r="G60" i="6"/>
  <c r="H47" i="47"/>
  <c r="I47" i="47" s="1"/>
  <c r="D48" i="47"/>
  <c r="D55" i="31"/>
  <c r="H54" i="31"/>
  <c r="G54" i="31"/>
  <c r="G60" i="8"/>
  <c r="H60" i="8"/>
  <c r="D61" i="8"/>
  <c r="H52" i="38"/>
  <c r="I52" i="38" s="1"/>
  <c r="D53" i="38"/>
  <c r="G51" i="42"/>
  <c r="I51" i="42" s="1"/>
  <c r="D52" i="42"/>
  <c r="E52" i="42"/>
  <c r="B48" i="49"/>
  <c r="I44" i="58"/>
  <c r="H57" i="23"/>
  <c r="D58" i="23"/>
  <c r="G57" i="23"/>
  <c r="G55" i="24"/>
  <c r="H55" i="24"/>
  <c r="D56" i="24"/>
  <c r="G43" i="59"/>
  <c r="I43" i="59" s="1"/>
  <c r="D44" i="59"/>
  <c r="E44" i="59"/>
  <c r="B47" i="57"/>
  <c r="F47" i="57"/>
  <c r="H47" i="57" s="1"/>
  <c r="H50" i="40"/>
  <c r="I50" i="40" s="1"/>
  <c r="D51" i="40"/>
  <c r="E51" i="40"/>
  <c r="D57" i="44"/>
  <c r="E57" i="44" s="1"/>
  <c r="F57" i="44" s="1"/>
  <c r="E56" i="45"/>
  <c r="F56" i="45" s="1"/>
  <c r="G56" i="45" s="1"/>
  <c r="B56" i="45"/>
  <c r="H61" i="11"/>
  <c r="D62" i="11"/>
  <c r="G61" i="11"/>
  <c r="D59" i="25"/>
  <c r="G58" i="25"/>
  <c r="H58" i="25"/>
  <c r="D55" i="29"/>
  <c r="G54" i="29"/>
  <c r="H54" i="29"/>
  <c r="H45" i="54"/>
  <c r="I45" i="54" s="1"/>
  <c r="D46" i="54"/>
  <c r="E46" i="54"/>
  <c r="B56" i="44"/>
  <c r="G56" i="44"/>
  <c r="H56" i="44"/>
  <c r="E56" i="46" l="1"/>
  <c r="F56" i="46" s="1"/>
  <c r="F51" i="13"/>
  <c r="H51" i="13" s="1"/>
  <c r="G47" i="57"/>
  <c r="I62" i="7"/>
  <c r="H48" i="49"/>
  <c r="I48" i="49" s="1"/>
  <c r="I57" i="27"/>
  <c r="I54" i="29"/>
  <c r="G51" i="13"/>
  <c r="I51" i="13" s="1"/>
  <c r="D52" i="13"/>
  <c r="E52" i="13"/>
  <c r="I56" i="44"/>
  <c r="I59" i="4"/>
  <c r="I55" i="24"/>
  <c r="I60" i="8"/>
  <c r="I61" i="11"/>
  <c r="F52" i="42"/>
  <c r="G52" i="42" s="1"/>
  <c r="B52" i="42"/>
  <c r="F51" i="40"/>
  <c r="B51" i="40"/>
  <c r="H45" i="58"/>
  <c r="D46" i="58"/>
  <c r="E46" i="58"/>
  <c r="E56" i="24"/>
  <c r="F56" i="24" s="1"/>
  <c r="B56" i="24"/>
  <c r="I54" i="28"/>
  <c r="I54" i="31"/>
  <c r="I60" i="6"/>
  <c r="B51" i="43"/>
  <c r="F51" i="43"/>
  <c r="G51" i="43" s="1"/>
  <c r="H51" i="55"/>
  <c r="D52" i="55"/>
  <c r="E55" i="28"/>
  <c r="F55" i="28" s="1"/>
  <c r="B55" i="28"/>
  <c r="E60" i="4"/>
  <c r="F60" i="4" s="1"/>
  <c r="B60" i="4"/>
  <c r="E48" i="48"/>
  <c r="F48" i="48" s="1"/>
  <c r="H48" i="48" s="1"/>
  <c r="B48" i="48"/>
  <c r="H56" i="45"/>
  <c r="I56" i="45" s="1"/>
  <c r="D57" i="45"/>
  <c r="I58" i="25"/>
  <c r="I47" i="57"/>
  <c r="E55" i="31"/>
  <c r="F55" i="31" s="1"/>
  <c r="B55" i="31"/>
  <c r="B51" i="55"/>
  <c r="G51" i="55"/>
  <c r="I50" i="41"/>
  <c r="E63" i="7"/>
  <c r="F63" i="7" s="1"/>
  <c r="B63" i="7"/>
  <c r="E63" i="10"/>
  <c r="F63" i="10" s="1"/>
  <c r="B63" i="10"/>
  <c r="E60" i="5"/>
  <c r="F60" i="5" s="1"/>
  <c r="B60" i="5"/>
  <c r="D58" i="44"/>
  <c r="E58" i="44" s="1"/>
  <c r="F58" i="44" s="1"/>
  <c r="E53" i="38"/>
  <c r="F53" i="38" s="1"/>
  <c r="H53" i="38" s="1"/>
  <c r="B53" i="38"/>
  <c r="E59" i="25"/>
  <c r="F59" i="25" s="1"/>
  <c r="B59" i="25"/>
  <c r="B57" i="44"/>
  <c r="H57" i="44"/>
  <c r="G57" i="44"/>
  <c r="D48" i="57"/>
  <c r="E48" i="57"/>
  <c r="E58" i="23"/>
  <c r="F58" i="23" s="1"/>
  <c r="B58" i="23"/>
  <c r="H52" i="39"/>
  <c r="I52" i="39" s="1"/>
  <c r="D53" i="39"/>
  <c r="G52" i="37"/>
  <c r="I52" i="37" s="1"/>
  <c r="D53" i="37"/>
  <c r="I58" i="22"/>
  <c r="I59" i="3"/>
  <c r="E62" i="9"/>
  <c r="F62" i="9" s="1"/>
  <c r="B62" i="9"/>
  <c r="B44" i="59"/>
  <c r="F44" i="59"/>
  <c r="G44" i="59" s="1"/>
  <c r="B54" i="30"/>
  <c r="F54" i="30"/>
  <c r="B46" i="54"/>
  <c r="F46" i="54"/>
  <c r="G46" i="54" s="1"/>
  <c r="E61" i="6"/>
  <c r="F61" i="6" s="1"/>
  <c r="B61" i="6"/>
  <c r="E62" i="11"/>
  <c r="F62" i="11" s="1"/>
  <c r="B62" i="11"/>
  <c r="E48" i="47"/>
  <c r="F48" i="47" s="1"/>
  <c r="H48" i="47" s="1"/>
  <c r="B48" i="47"/>
  <c r="E55" i="29"/>
  <c r="F55" i="29" s="1"/>
  <c r="B55" i="29"/>
  <c r="I57" i="23"/>
  <c r="E61" i="8"/>
  <c r="F61" i="8" s="1"/>
  <c r="B61" i="8"/>
  <c r="D49" i="49"/>
  <c r="E49" i="49"/>
  <c r="E58" i="27"/>
  <c r="F58" i="27" s="1"/>
  <c r="B58" i="27"/>
  <c r="I53" i="30"/>
  <c r="G45" i="58"/>
  <c r="E59" i="22"/>
  <c r="F59" i="22" s="1"/>
  <c r="B59" i="22"/>
  <c r="F51" i="41"/>
  <c r="H51" i="41" s="1"/>
  <c r="B51" i="41"/>
  <c r="E60" i="3"/>
  <c r="F60" i="3" s="1"/>
  <c r="B60" i="3"/>
  <c r="I62" i="10"/>
  <c r="I61" i="9"/>
  <c r="G56" i="46" l="1"/>
  <c r="D57" i="46"/>
  <c r="H56" i="46"/>
  <c r="I56" i="46" s="1"/>
  <c r="H44" i="59"/>
  <c r="I45" i="58"/>
  <c r="B52" i="13"/>
  <c r="F52" i="13"/>
  <c r="H52" i="13" s="1"/>
  <c r="I51" i="55"/>
  <c r="G61" i="8"/>
  <c r="D62" i="8"/>
  <c r="H61" i="8"/>
  <c r="H55" i="29"/>
  <c r="D56" i="29"/>
  <c r="G55" i="29"/>
  <c r="D61" i="4"/>
  <c r="H60" i="4"/>
  <c r="G60" i="4"/>
  <c r="H62" i="9"/>
  <c r="D63" i="9"/>
  <c r="G62" i="9"/>
  <c r="G59" i="25"/>
  <c r="H59" i="25"/>
  <c r="D60" i="25"/>
  <c r="G51" i="40"/>
  <c r="D52" i="40"/>
  <c r="H46" i="54"/>
  <c r="I46" i="54" s="1"/>
  <c r="D47" i="54"/>
  <c r="E47" i="54"/>
  <c r="H51" i="43"/>
  <c r="I51" i="43" s="1"/>
  <c r="D52" i="43"/>
  <c r="H55" i="28"/>
  <c r="G55" i="28"/>
  <c r="D56" i="28"/>
  <c r="D59" i="27"/>
  <c r="G58" i="27"/>
  <c r="H58" i="27"/>
  <c r="G54" i="30"/>
  <c r="H54" i="30"/>
  <c r="D55" i="30"/>
  <c r="E53" i="37"/>
  <c r="F53" i="37" s="1"/>
  <c r="B53" i="37"/>
  <c r="B58" i="44"/>
  <c r="H58" i="44"/>
  <c r="G58" i="44"/>
  <c r="G48" i="48"/>
  <c r="I48" i="48" s="1"/>
  <c r="D49" i="48"/>
  <c r="E49" i="48"/>
  <c r="D60" i="22"/>
  <c r="H59" i="22"/>
  <c r="G59" i="22"/>
  <c r="G48" i="47"/>
  <c r="I48" i="47" s="1"/>
  <c r="D49" i="47"/>
  <c r="I57" i="44"/>
  <c r="E52" i="55"/>
  <c r="F52" i="55" s="1"/>
  <c r="H52" i="55" s="1"/>
  <c r="B52" i="55"/>
  <c r="G56" i="24"/>
  <c r="D57" i="24"/>
  <c r="H56" i="24"/>
  <c r="D45" i="59"/>
  <c r="E45" i="59"/>
  <c r="H62" i="11"/>
  <c r="G62" i="11"/>
  <c r="D63" i="11"/>
  <c r="D59" i="23"/>
  <c r="G58" i="23"/>
  <c r="H58" i="23"/>
  <c r="G53" i="38"/>
  <c r="I53" i="38" s="1"/>
  <c r="D54" i="38"/>
  <c r="E54" i="38"/>
  <c r="D61" i="5"/>
  <c r="H60" i="5"/>
  <c r="G60" i="5"/>
  <c r="D56" i="31"/>
  <c r="G55" i="31"/>
  <c r="H55" i="31"/>
  <c r="B46" i="58"/>
  <c r="F46" i="58"/>
  <c r="H52" i="42"/>
  <c r="I52" i="42" s="1"/>
  <c r="D53" i="42"/>
  <c r="E53" i="42"/>
  <c r="I44" i="59"/>
  <c r="B48" i="57"/>
  <c r="H60" i="3"/>
  <c r="D61" i="3"/>
  <c r="G60" i="3"/>
  <c r="H63" i="10"/>
  <c r="G63" i="10"/>
  <c r="D64" i="10"/>
  <c r="G51" i="41"/>
  <c r="I51" i="41" s="1"/>
  <c r="D52" i="41"/>
  <c r="H61" i="6"/>
  <c r="G61" i="6"/>
  <c r="D62" i="6"/>
  <c r="H51" i="40"/>
  <c r="B49" i="49"/>
  <c r="D59" i="44"/>
  <c r="E59" i="44" s="1"/>
  <c r="F59" i="44" s="1"/>
  <c r="H63" i="7"/>
  <c r="D64" i="7"/>
  <c r="G63" i="7"/>
  <c r="F49" i="49"/>
  <c r="G49" i="49" s="1"/>
  <c r="E53" i="39"/>
  <c r="F53" i="39" s="1"/>
  <c r="H53" i="39" s="1"/>
  <c r="B53" i="39"/>
  <c r="F48" i="57"/>
  <c r="G48" i="57" s="1"/>
  <c r="E57" i="45"/>
  <c r="F57" i="45" s="1"/>
  <c r="B57" i="45"/>
  <c r="E57" i="46" l="1"/>
  <c r="F57" i="46" s="1"/>
  <c r="B57" i="46"/>
  <c r="G52" i="13"/>
  <c r="F45" i="59"/>
  <c r="I52" i="13"/>
  <c r="I51" i="40"/>
  <c r="I62" i="11"/>
  <c r="I59" i="22"/>
  <c r="I61" i="8"/>
  <c r="I58" i="23"/>
  <c r="D53" i="13"/>
  <c r="E53" i="13"/>
  <c r="I55" i="29"/>
  <c r="H49" i="49"/>
  <c r="I49" i="49" s="1"/>
  <c r="I63" i="10"/>
  <c r="I55" i="31"/>
  <c r="I60" i="4"/>
  <c r="I58" i="44"/>
  <c r="I62" i="9"/>
  <c r="I63" i="7"/>
  <c r="I58" i="27"/>
  <c r="I59" i="25"/>
  <c r="H53" i="37"/>
  <c r="D54" i="37"/>
  <c r="E54" i="37"/>
  <c r="G53" i="37"/>
  <c r="D58" i="45"/>
  <c r="G57" i="45"/>
  <c r="H57" i="45"/>
  <c r="B59" i="44"/>
  <c r="G59" i="44"/>
  <c r="H59" i="44"/>
  <c r="F49" i="48"/>
  <c r="D50" i="48" s="1"/>
  <c r="B49" i="48"/>
  <c r="E64" i="7"/>
  <c r="F64" i="7" s="1"/>
  <c r="B64" i="7"/>
  <c r="D47" i="58"/>
  <c r="E47" i="58"/>
  <c r="G52" i="55"/>
  <c r="I52" i="55" s="1"/>
  <c r="E55" i="30"/>
  <c r="F55" i="30" s="1"/>
  <c r="B55" i="30"/>
  <c r="E56" i="29"/>
  <c r="F56" i="29" s="1"/>
  <c r="B56" i="29"/>
  <c r="D60" i="44"/>
  <c r="E60" i="44" s="1"/>
  <c r="F60" i="44" s="1"/>
  <c r="D49" i="57"/>
  <c r="E49" i="57"/>
  <c r="I56" i="24"/>
  <c r="I54" i="30"/>
  <c r="E62" i="6"/>
  <c r="F62" i="6" s="1"/>
  <c r="B62" i="6"/>
  <c r="E56" i="31"/>
  <c r="F56" i="31" s="1"/>
  <c r="B56" i="31"/>
  <c r="D53" i="55"/>
  <c r="E53" i="55" s="1"/>
  <c r="F53" i="55" s="1"/>
  <c r="D54" i="55" s="1"/>
  <c r="I61" i="6"/>
  <c r="E52" i="41"/>
  <c r="F52" i="41" s="1"/>
  <c r="B52" i="41"/>
  <c r="F53" i="42"/>
  <c r="D54" i="42" s="1"/>
  <c r="B53" i="42"/>
  <c r="E61" i="5"/>
  <c r="F61" i="5" s="1"/>
  <c r="B61" i="5"/>
  <c r="B45" i="59"/>
  <c r="G45" i="59"/>
  <c r="E57" i="24"/>
  <c r="F57" i="24" s="1"/>
  <c r="B57" i="24"/>
  <c r="E63" i="9"/>
  <c r="F63" i="9" s="1"/>
  <c r="B63" i="9"/>
  <c r="G53" i="39"/>
  <c r="I53" i="39" s="1"/>
  <c r="D54" i="39"/>
  <c r="E54" i="39"/>
  <c r="E61" i="3"/>
  <c r="F61" i="3" s="1"/>
  <c r="B61" i="3"/>
  <c r="E49" i="47"/>
  <c r="F49" i="47" s="1"/>
  <c r="G49" i="47" s="1"/>
  <c r="B49" i="47"/>
  <c r="E56" i="28"/>
  <c r="F56" i="28" s="1"/>
  <c r="B56" i="28"/>
  <c r="F47" i="54"/>
  <c r="H47" i="54" s="1"/>
  <c r="B47" i="54"/>
  <c r="E60" i="25"/>
  <c r="F60" i="25" s="1"/>
  <c r="B60" i="25"/>
  <c r="I60" i="3"/>
  <c r="H46" i="58"/>
  <c r="F54" i="38"/>
  <c r="H54" i="38" s="1"/>
  <c r="B54" i="38"/>
  <c r="E63" i="11"/>
  <c r="F63" i="11" s="1"/>
  <c r="B63" i="11"/>
  <c r="E52" i="43"/>
  <c r="F52" i="43" s="1"/>
  <c r="G52" i="43" s="1"/>
  <c r="B52" i="43"/>
  <c r="E59" i="23"/>
  <c r="F59" i="23" s="1"/>
  <c r="B59" i="23"/>
  <c r="E59" i="27"/>
  <c r="F59" i="27" s="1"/>
  <c r="B59" i="27"/>
  <c r="E61" i="4"/>
  <c r="F61" i="4" s="1"/>
  <c r="B61" i="4"/>
  <c r="E64" i="10"/>
  <c r="F64" i="10" s="1"/>
  <c r="B64" i="10"/>
  <c r="H45" i="59"/>
  <c r="D46" i="59"/>
  <c r="E46" i="59"/>
  <c r="E60" i="22"/>
  <c r="F60" i="22" s="1"/>
  <c r="B60" i="22"/>
  <c r="E52" i="40"/>
  <c r="F52" i="40" s="1"/>
  <c r="H52" i="40" s="1"/>
  <c r="B52" i="40"/>
  <c r="E62" i="8"/>
  <c r="F62" i="8" s="1"/>
  <c r="B62" i="8"/>
  <c r="D50" i="49"/>
  <c r="E50" i="49"/>
  <c r="H48" i="57"/>
  <c r="I48" i="57" s="1"/>
  <c r="G46" i="58"/>
  <c r="I55" i="28"/>
  <c r="H57" i="46" l="1"/>
  <c r="D58" i="46"/>
  <c r="G57" i="46"/>
  <c r="G53" i="42"/>
  <c r="H53" i="42"/>
  <c r="F53" i="13"/>
  <c r="B53" i="13"/>
  <c r="G53" i="13"/>
  <c r="F47" i="58"/>
  <c r="D48" i="58" s="1"/>
  <c r="H49" i="48"/>
  <c r="I53" i="37"/>
  <c r="H61" i="4"/>
  <c r="D62" i="4"/>
  <c r="G61" i="4"/>
  <c r="H59" i="23"/>
  <c r="D60" i="23"/>
  <c r="G59" i="23"/>
  <c r="G62" i="8"/>
  <c r="D63" i="8"/>
  <c r="H62" i="8"/>
  <c r="G63" i="11"/>
  <c r="H63" i="11"/>
  <c r="D64" i="11"/>
  <c r="H61" i="5"/>
  <c r="D62" i="5"/>
  <c r="G61" i="5"/>
  <c r="G61" i="3"/>
  <c r="H61" i="3"/>
  <c r="D62" i="3"/>
  <c r="B50" i="49"/>
  <c r="H60" i="25"/>
  <c r="D61" i="25"/>
  <c r="G60" i="25"/>
  <c r="G57" i="24"/>
  <c r="D58" i="24"/>
  <c r="H57" i="24"/>
  <c r="G52" i="40"/>
  <c r="I52" i="40" s="1"/>
  <c r="D53" i="40"/>
  <c r="D64" i="9"/>
  <c r="G63" i="9"/>
  <c r="H63" i="9"/>
  <c r="I53" i="42"/>
  <c r="E50" i="48"/>
  <c r="F50" i="48" s="1"/>
  <c r="G50" i="48" s="1"/>
  <c r="B50" i="48"/>
  <c r="I45" i="59"/>
  <c r="H55" i="30"/>
  <c r="G55" i="30"/>
  <c r="D56" i="30"/>
  <c r="B47" i="58"/>
  <c r="I59" i="44"/>
  <c r="H49" i="47"/>
  <c r="I49" i="47" s="1"/>
  <c r="D50" i="47"/>
  <c r="H52" i="43"/>
  <c r="I52" i="43" s="1"/>
  <c r="D53" i="43"/>
  <c r="E54" i="55"/>
  <c r="F54" i="55" s="1"/>
  <c r="G54" i="55" s="1"/>
  <c r="B54" i="55"/>
  <c r="D61" i="44"/>
  <c r="E61" i="44" s="1"/>
  <c r="F61" i="44" s="1"/>
  <c r="G56" i="29"/>
  <c r="H56" i="29"/>
  <c r="D57" i="29"/>
  <c r="H64" i="7"/>
  <c r="D65" i="7"/>
  <c r="B65" i="7" s="1"/>
  <c r="G64" i="7"/>
  <c r="G54" i="38"/>
  <c r="I54" i="38" s="1"/>
  <c r="D55" i="38"/>
  <c r="E55" i="38"/>
  <c r="I46" i="58"/>
  <c r="B49" i="57"/>
  <c r="F49" i="57"/>
  <c r="H49" i="57" s="1"/>
  <c r="D61" i="22"/>
  <c r="G60" i="22"/>
  <c r="H60" i="22"/>
  <c r="E54" i="42"/>
  <c r="F54" i="42" s="1"/>
  <c r="H54" i="42" s="1"/>
  <c r="B54" i="42"/>
  <c r="B53" i="55"/>
  <c r="H53" i="55"/>
  <c r="G53" i="55"/>
  <c r="H56" i="31"/>
  <c r="D57" i="31"/>
  <c r="G56" i="31"/>
  <c r="B60" i="44"/>
  <c r="H60" i="44"/>
  <c r="G60" i="44"/>
  <c r="I57" i="45"/>
  <c r="B46" i="59"/>
  <c r="F46" i="59"/>
  <c r="H46" i="59" s="1"/>
  <c r="H52" i="41"/>
  <c r="D53" i="41"/>
  <c r="E53" i="41"/>
  <c r="H56" i="28"/>
  <c r="D57" i="28"/>
  <c r="G56" i="28"/>
  <c r="H64" i="10"/>
  <c r="D65" i="10"/>
  <c r="B65" i="10" s="1"/>
  <c r="G64" i="10"/>
  <c r="G47" i="54"/>
  <c r="I47" i="54" s="1"/>
  <c r="D48" i="54"/>
  <c r="E48" i="54"/>
  <c r="G52" i="41"/>
  <c r="B54" i="37"/>
  <c r="F54" i="37"/>
  <c r="H54" i="37" s="1"/>
  <c r="G62" i="6"/>
  <c r="D63" i="6"/>
  <c r="H62" i="6"/>
  <c r="G59" i="27"/>
  <c r="H59" i="27"/>
  <c r="D60" i="27"/>
  <c r="F50" i="49"/>
  <c r="F54" i="39"/>
  <c r="H54" i="39" s="1"/>
  <c r="B54" i="39"/>
  <c r="G49" i="48"/>
  <c r="E58" i="45"/>
  <c r="F58" i="45"/>
  <c r="H58" i="45" s="1"/>
  <c r="B58" i="45"/>
  <c r="E58" i="46" l="1"/>
  <c r="F58" i="46" s="1"/>
  <c r="B58" i="46"/>
  <c r="H58" i="46"/>
  <c r="G58" i="46"/>
  <c r="I57" i="46"/>
  <c r="I62" i="8"/>
  <c r="H47" i="58"/>
  <c r="E65" i="7"/>
  <c r="F65" i="7" s="1"/>
  <c r="H65" i="7" s="1"/>
  <c r="I49" i="48"/>
  <c r="I64" i="7"/>
  <c r="I60" i="22"/>
  <c r="I56" i="29"/>
  <c r="G47" i="58"/>
  <c r="E48" i="58"/>
  <c r="F48" i="58" s="1"/>
  <c r="H48" i="58" s="1"/>
  <c r="H53" i="13"/>
  <c r="I53" i="13" s="1"/>
  <c r="D54" i="13"/>
  <c r="E54" i="13"/>
  <c r="I63" i="9"/>
  <c r="I62" i="6"/>
  <c r="I60" i="25"/>
  <c r="I55" i="30"/>
  <c r="I57" i="24"/>
  <c r="I59" i="23"/>
  <c r="D62" i="44"/>
  <c r="E62" i="44" s="1"/>
  <c r="F62" i="44" s="1"/>
  <c r="E56" i="30"/>
  <c r="F56" i="30" s="1"/>
  <c r="B56" i="30"/>
  <c r="E62" i="5"/>
  <c r="F62" i="5" s="1"/>
  <c r="B62" i="5"/>
  <c r="E62" i="4"/>
  <c r="F62" i="4" s="1"/>
  <c r="B62" i="4"/>
  <c r="E53" i="43"/>
  <c r="F53" i="43" s="1"/>
  <c r="G53" i="43" s="1"/>
  <c r="B53" i="43"/>
  <c r="E50" i="47"/>
  <c r="F50" i="47" s="1"/>
  <c r="B50" i="47"/>
  <c r="I61" i="4"/>
  <c r="E63" i="8"/>
  <c r="F63" i="8" s="1"/>
  <c r="B63" i="8"/>
  <c r="G54" i="42"/>
  <c r="I54" i="42" s="1"/>
  <c r="D55" i="42"/>
  <c r="H54" i="55"/>
  <c r="I54" i="55" s="1"/>
  <c r="B48" i="58"/>
  <c r="E53" i="40"/>
  <c r="F53" i="40" s="1"/>
  <c r="H53" i="40" s="1"/>
  <c r="B53" i="40"/>
  <c r="H50" i="49"/>
  <c r="D51" i="49"/>
  <c r="E51" i="49"/>
  <c r="F48" i="54"/>
  <c r="G48" i="54" s="1"/>
  <c r="B48" i="54"/>
  <c r="G54" i="39"/>
  <c r="I54" i="39" s="1"/>
  <c r="D55" i="39"/>
  <c r="G54" i="37"/>
  <c r="I54" i="37" s="1"/>
  <c r="D55" i="37"/>
  <c r="I60" i="44"/>
  <c r="E57" i="31"/>
  <c r="F57" i="31" s="1"/>
  <c r="B57" i="31"/>
  <c r="G50" i="49"/>
  <c r="E62" i="3"/>
  <c r="F62" i="3" s="1"/>
  <c r="B62" i="3"/>
  <c r="I64" i="10"/>
  <c r="E57" i="29"/>
  <c r="F57" i="29" s="1"/>
  <c r="B57" i="29"/>
  <c r="I56" i="31"/>
  <c r="E61" i="22"/>
  <c r="F61" i="22" s="1"/>
  <c r="B61" i="22"/>
  <c r="B55" i="38"/>
  <c r="F55" i="38"/>
  <c r="H55" i="38" s="1"/>
  <c r="E61" i="25"/>
  <c r="F61" i="25" s="1"/>
  <c r="B61" i="25"/>
  <c r="I61" i="3"/>
  <c r="E60" i="23"/>
  <c r="F60" i="23" s="1"/>
  <c r="B60" i="23"/>
  <c r="H50" i="48"/>
  <c r="I50" i="48" s="1"/>
  <c r="D51" i="48"/>
  <c r="E58" i="24"/>
  <c r="F58" i="24" s="1"/>
  <c r="B58" i="24"/>
  <c r="G58" i="45"/>
  <c r="I58" i="45" s="1"/>
  <c r="D59" i="45"/>
  <c r="E63" i="6"/>
  <c r="F63" i="6" s="1"/>
  <c r="B63" i="6"/>
  <c r="I52" i="41"/>
  <c r="E57" i="28"/>
  <c r="F57" i="28" s="1"/>
  <c r="B57" i="28"/>
  <c r="G49" i="57"/>
  <c r="I49" i="57" s="1"/>
  <c r="D50" i="57"/>
  <c r="E50" i="57"/>
  <c r="B61" i="44"/>
  <c r="G61" i="44"/>
  <c r="H61" i="44"/>
  <c r="D55" i="55"/>
  <c r="E55" i="55" s="1"/>
  <c r="F55" i="55" s="1"/>
  <c r="E64" i="11"/>
  <c r="F64" i="11" s="1"/>
  <c r="B64" i="11"/>
  <c r="E64" i="9"/>
  <c r="F64" i="9" s="1"/>
  <c r="B64" i="9"/>
  <c r="G46" i="59"/>
  <c r="I46" i="59" s="1"/>
  <c r="D47" i="59"/>
  <c r="E47" i="59"/>
  <c r="E60" i="27"/>
  <c r="F60" i="27" s="1"/>
  <c r="B60" i="27"/>
  <c r="I59" i="27"/>
  <c r="E65" i="10"/>
  <c r="F65" i="10" s="1"/>
  <c r="I56" i="28"/>
  <c r="F53" i="41"/>
  <c r="D54" i="41" s="1"/>
  <c r="B53" i="41"/>
  <c r="I53" i="55"/>
  <c r="I63" i="11"/>
  <c r="D66" i="7" l="1"/>
  <c r="I47" i="58"/>
  <c r="I58" i="46"/>
  <c r="D59" i="46"/>
  <c r="E59" i="46" s="1"/>
  <c r="F59" i="46" s="1"/>
  <c r="G65" i="7"/>
  <c r="G53" i="41"/>
  <c r="I65" i="7"/>
  <c r="G48" i="58"/>
  <c r="I48" i="58" s="1"/>
  <c r="B54" i="13"/>
  <c r="F54" i="13"/>
  <c r="G54" i="13" s="1"/>
  <c r="H53" i="41"/>
  <c r="I50" i="49"/>
  <c r="I61" i="44"/>
  <c r="D65" i="9"/>
  <c r="B65" i="9" s="1"/>
  <c r="G64" i="9"/>
  <c r="H64" i="9"/>
  <c r="H63" i="8"/>
  <c r="D64" i="8"/>
  <c r="G63" i="8"/>
  <c r="H50" i="47"/>
  <c r="D51" i="47"/>
  <c r="G50" i="47"/>
  <c r="D56" i="55"/>
  <c r="E56" i="55" s="1"/>
  <c r="F56" i="55" s="1"/>
  <c r="H63" i="6"/>
  <c r="G63" i="6"/>
  <c r="D64" i="6"/>
  <c r="D59" i="24"/>
  <c r="H58" i="24"/>
  <c r="G58" i="24"/>
  <c r="D61" i="27"/>
  <c r="B61" i="27" s="1"/>
  <c r="G60" i="27"/>
  <c r="H60" i="27"/>
  <c r="D62" i="25"/>
  <c r="G61" i="25"/>
  <c r="H61" i="25"/>
  <c r="H61" i="22"/>
  <c r="D62" i="22"/>
  <c r="G61" i="22"/>
  <c r="G62" i="4"/>
  <c r="D63" i="4"/>
  <c r="H62" i="4"/>
  <c r="H62" i="3"/>
  <c r="G62" i="3"/>
  <c r="D63" i="3"/>
  <c r="G62" i="5"/>
  <c r="H62" i="5"/>
  <c r="D63" i="5"/>
  <c r="B50" i="57"/>
  <c r="F50" i="57"/>
  <c r="H50" i="57" s="1"/>
  <c r="H48" i="54"/>
  <c r="I48" i="54" s="1"/>
  <c r="D49" i="54"/>
  <c r="E49" i="54"/>
  <c r="E54" i="41"/>
  <c r="F54" i="41" s="1"/>
  <c r="B54" i="41"/>
  <c r="H57" i="31"/>
  <c r="G57" i="31"/>
  <c r="D58" i="31"/>
  <c r="E55" i="42"/>
  <c r="F55" i="42" s="1"/>
  <c r="H55" i="42" s="1"/>
  <c r="B55" i="42"/>
  <c r="B47" i="59"/>
  <c r="F47" i="59"/>
  <c r="G47" i="59" s="1"/>
  <c r="E55" i="39"/>
  <c r="F55" i="39" s="1"/>
  <c r="B55" i="39"/>
  <c r="D49" i="58"/>
  <c r="E49" i="58"/>
  <c r="G64" i="11"/>
  <c r="H64" i="11"/>
  <c r="D65" i="11"/>
  <c r="G56" i="30"/>
  <c r="H56" i="30"/>
  <c r="D57" i="30"/>
  <c r="D66" i="10"/>
  <c r="G65" i="10"/>
  <c r="H65" i="10"/>
  <c r="E51" i="48"/>
  <c r="F51" i="48" s="1"/>
  <c r="G51" i="48" s="1"/>
  <c r="B51" i="48"/>
  <c r="G55" i="38"/>
  <c r="I55" i="38" s="1"/>
  <c r="D56" i="38"/>
  <c r="B55" i="55"/>
  <c r="H55" i="55"/>
  <c r="G55" i="55"/>
  <c r="E59" i="45"/>
  <c r="F59" i="45" s="1"/>
  <c r="B59" i="45"/>
  <c r="B51" i="49"/>
  <c r="F51" i="49"/>
  <c r="G53" i="40"/>
  <c r="I53" i="40" s="1"/>
  <c r="D54" i="40"/>
  <c r="H53" i="43"/>
  <c r="I53" i="43" s="1"/>
  <c r="D54" i="43"/>
  <c r="G57" i="28"/>
  <c r="H57" i="28"/>
  <c r="D58" i="28"/>
  <c r="E66" i="7"/>
  <c r="F66" i="7" s="1"/>
  <c r="B66" i="7"/>
  <c r="G57" i="29"/>
  <c r="H57" i="29"/>
  <c r="D58" i="29"/>
  <c r="E55" i="37"/>
  <c r="F55" i="37" s="1"/>
  <c r="B55" i="37"/>
  <c r="D63" i="44"/>
  <c r="E63" i="44" s="1"/>
  <c r="F63" i="44" s="1"/>
  <c r="G60" i="23"/>
  <c r="H60" i="23"/>
  <c r="D61" i="23"/>
  <c r="B62" i="44"/>
  <c r="G62" i="44"/>
  <c r="H62" i="44"/>
  <c r="D60" i="46" l="1"/>
  <c r="E60" i="46"/>
  <c r="F60" i="46" s="1"/>
  <c r="D61" i="46" s="1"/>
  <c r="E61" i="46" s="1"/>
  <c r="F61" i="46" s="1"/>
  <c r="D62" i="46" s="1"/>
  <c r="I53" i="41"/>
  <c r="B59" i="46"/>
  <c r="H59" i="46"/>
  <c r="G59" i="46"/>
  <c r="H54" i="13"/>
  <c r="I54" i="13" s="1"/>
  <c r="D55" i="13"/>
  <c r="I57" i="31"/>
  <c r="I64" i="9"/>
  <c r="I65" i="10"/>
  <c r="E65" i="9"/>
  <c r="F65" i="9" s="1"/>
  <c r="H65" i="9" s="1"/>
  <c r="I58" i="24"/>
  <c r="I60" i="27"/>
  <c r="I63" i="6"/>
  <c r="I61" i="22"/>
  <c r="I57" i="29"/>
  <c r="I61" i="25"/>
  <c r="D64" i="44"/>
  <c r="E64" i="44" s="1"/>
  <c r="F64" i="44" s="1"/>
  <c r="D56" i="39"/>
  <c r="G55" i="39"/>
  <c r="H55" i="39"/>
  <c r="E62" i="46"/>
  <c r="F62" i="46" s="1"/>
  <c r="G62" i="46" s="1"/>
  <c r="B62" i="46"/>
  <c r="H54" i="41"/>
  <c r="D55" i="41"/>
  <c r="G54" i="41"/>
  <c r="H55" i="37"/>
  <c r="D56" i="37"/>
  <c r="G55" i="37"/>
  <c r="G51" i="49"/>
  <c r="D52" i="49"/>
  <c r="E52" i="49"/>
  <c r="E54" i="43"/>
  <c r="F54" i="43" s="1"/>
  <c r="G54" i="43" s="1"/>
  <c r="B54" i="43"/>
  <c r="H59" i="45"/>
  <c r="D60" i="45"/>
  <c r="E56" i="38"/>
  <c r="F56" i="38" s="1"/>
  <c r="H56" i="38" s="1"/>
  <c r="B56" i="38"/>
  <c r="F49" i="58"/>
  <c r="H49" i="58" s="1"/>
  <c r="E58" i="31"/>
  <c r="F58" i="31" s="1"/>
  <c r="B58" i="31"/>
  <c r="G50" i="57"/>
  <c r="I50" i="57" s="1"/>
  <c r="I62" i="4"/>
  <c r="E62" i="22"/>
  <c r="F62" i="22" s="1"/>
  <c r="B62" i="22"/>
  <c r="E64" i="6"/>
  <c r="F64" i="6" s="1"/>
  <c r="B64" i="6"/>
  <c r="E51" i="47"/>
  <c r="F51" i="47" s="1"/>
  <c r="G51" i="47" s="1"/>
  <c r="B51" i="47"/>
  <c r="I63" i="8"/>
  <c r="D57" i="55"/>
  <c r="E57" i="55" s="1"/>
  <c r="F57" i="55" s="1"/>
  <c r="I62" i="44"/>
  <c r="E58" i="29"/>
  <c r="F58" i="29" s="1"/>
  <c r="B58" i="29"/>
  <c r="H51" i="49"/>
  <c r="B49" i="58"/>
  <c r="E63" i="5"/>
  <c r="F63" i="5" s="1"/>
  <c r="B63" i="5"/>
  <c r="E63" i="3"/>
  <c r="F63" i="3" s="1"/>
  <c r="B63" i="3"/>
  <c r="E63" i="4"/>
  <c r="F63" i="4" s="1"/>
  <c r="B63" i="4"/>
  <c r="B61" i="46"/>
  <c r="G61" i="46"/>
  <c r="H61" i="46"/>
  <c r="D67" i="7"/>
  <c r="B67" i="7" s="1"/>
  <c r="G66" i="7"/>
  <c r="H66" i="7"/>
  <c r="H51" i="48"/>
  <c r="I51" i="48" s="1"/>
  <c r="D52" i="48"/>
  <c r="E66" i="10"/>
  <c r="F66" i="10" s="1"/>
  <c r="B66" i="10"/>
  <c r="E62" i="25"/>
  <c r="F62" i="25" s="1"/>
  <c r="B62" i="25"/>
  <c r="B56" i="55"/>
  <c r="H56" i="55"/>
  <c r="G56" i="55"/>
  <c r="I55" i="55"/>
  <c r="B63" i="44"/>
  <c r="G63" i="44"/>
  <c r="H63" i="44"/>
  <c r="H47" i="59"/>
  <c r="I47" i="59" s="1"/>
  <c r="D48" i="59"/>
  <c r="E48" i="59"/>
  <c r="F49" i="54"/>
  <c r="G49" i="54" s="1"/>
  <c r="B49" i="54"/>
  <c r="D51" i="57"/>
  <c r="E51" i="57"/>
  <c r="E61" i="23"/>
  <c r="F61" i="23" s="1"/>
  <c r="B61" i="23"/>
  <c r="E58" i="28"/>
  <c r="F58" i="28" s="1"/>
  <c r="B58" i="28"/>
  <c r="G59" i="45"/>
  <c r="E57" i="30"/>
  <c r="F57" i="30" s="1"/>
  <c r="B57" i="30"/>
  <c r="E65" i="11"/>
  <c r="F65" i="11" s="1"/>
  <c r="B65" i="11"/>
  <c r="G55" i="42"/>
  <c r="I55" i="42" s="1"/>
  <c r="D56" i="42"/>
  <c r="I62" i="3"/>
  <c r="I60" i="23"/>
  <c r="I57" i="28"/>
  <c r="E54" i="40"/>
  <c r="F54" i="40" s="1"/>
  <c r="B54" i="40"/>
  <c r="I56" i="30"/>
  <c r="I64" i="11"/>
  <c r="E61" i="27"/>
  <c r="F61" i="27" s="1"/>
  <c r="E59" i="24"/>
  <c r="F59" i="24" s="1"/>
  <c r="B59" i="24"/>
  <c r="I50" i="47"/>
  <c r="E64" i="8"/>
  <c r="F64" i="8" s="1"/>
  <c r="B64" i="8"/>
  <c r="I59" i="46" l="1"/>
  <c r="B60" i="46"/>
  <c r="G60" i="46"/>
  <c r="H60" i="46"/>
  <c r="I60" i="46" s="1"/>
  <c r="G49" i="58"/>
  <c r="D66" i="9"/>
  <c r="B66" i="9" s="1"/>
  <c r="I51" i="49"/>
  <c r="G65" i="9"/>
  <c r="I65" i="9" s="1"/>
  <c r="I55" i="39"/>
  <c r="I63" i="44"/>
  <c r="I66" i="7"/>
  <c r="B55" i="13"/>
  <c r="I59" i="45"/>
  <c r="E55" i="13"/>
  <c r="F55" i="13" s="1"/>
  <c r="I49" i="58"/>
  <c r="I61" i="46"/>
  <c r="I55" i="37"/>
  <c r="D59" i="28"/>
  <c r="G58" i="28"/>
  <c r="H58" i="28"/>
  <c r="H62" i="25"/>
  <c r="D63" i="25"/>
  <c r="G62" i="25"/>
  <c r="H66" i="10"/>
  <c r="D67" i="10"/>
  <c r="G66" i="10"/>
  <c r="G57" i="30"/>
  <c r="D58" i="30"/>
  <c r="H57" i="30"/>
  <c r="D64" i="5"/>
  <c r="G63" i="5"/>
  <c r="H63" i="5"/>
  <c r="H64" i="6"/>
  <c r="G64" i="6"/>
  <c r="D65" i="6"/>
  <c r="H54" i="40"/>
  <c r="D55" i="40"/>
  <c r="G54" i="40"/>
  <c r="D65" i="44"/>
  <c r="E65" i="44" s="1"/>
  <c r="F65" i="44" s="1"/>
  <c r="H59" i="24"/>
  <c r="G59" i="24"/>
  <c r="D60" i="24"/>
  <c r="G61" i="23"/>
  <c r="H61" i="23"/>
  <c r="D62" i="23"/>
  <c r="D58" i="55"/>
  <c r="E58" i="55" s="1"/>
  <c r="F58" i="55" s="1"/>
  <c r="H61" i="27"/>
  <c r="D62" i="27"/>
  <c r="B62" i="27" s="1"/>
  <c r="G61" i="27"/>
  <c r="B48" i="59"/>
  <c r="F48" i="59"/>
  <c r="B57" i="55"/>
  <c r="H57" i="55"/>
  <c r="G57" i="55"/>
  <c r="G62" i="22"/>
  <c r="D63" i="22"/>
  <c r="H62" i="22"/>
  <c r="G56" i="38"/>
  <c r="I56" i="38" s="1"/>
  <c r="D57" i="38"/>
  <c r="H54" i="43"/>
  <c r="I54" i="43" s="1"/>
  <c r="D55" i="43"/>
  <c r="H63" i="3"/>
  <c r="G63" i="3"/>
  <c r="D64" i="3"/>
  <c r="H58" i="29"/>
  <c r="D59" i="29"/>
  <c r="G58" i="29"/>
  <c r="E55" i="41"/>
  <c r="F55" i="41" s="1"/>
  <c r="G55" i="41" s="1"/>
  <c r="B55" i="41"/>
  <c r="G65" i="11"/>
  <c r="H65" i="11"/>
  <c r="D66" i="11"/>
  <c r="B51" i="57"/>
  <c r="F51" i="57"/>
  <c r="H51" i="57" s="1"/>
  <c r="E67" i="7"/>
  <c r="F67" i="7" s="1"/>
  <c r="H51" i="47"/>
  <c r="I51" i="47" s="1"/>
  <c r="D52" i="47"/>
  <c r="E56" i="37"/>
  <c r="F56" i="37" s="1"/>
  <c r="B56" i="37"/>
  <c r="H62" i="46"/>
  <c r="I62" i="46" s="1"/>
  <c r="D63" i="46"/>
  <c r="H49" i="54"/>
  <c r="I49" i="54" s="1"/>
  <c r="D50" i="54"/>
  <c r="E50" i="54"/>
  <c r="H63" i="4"/>
  <c r="D64" i="4"/>
  <c r="B64" i="4" s="1"/>
  <c r="G63" i="4"/>
  <c r="H58" i="31"/>
  <c r="G58" i="31"/>
  <c r="D59" i="31"/>
  <c r="F52" i="49"/>
  <c r="H52" i="49" s="1"/>
  <c r="B52" i="49"/>
  <c r="E56" i="39"/>
  <c r="F56" i="39" s="1"/>
  <c r="B56" i="39"/>
  <c r="E52" i="48"/>
  <c r="F52" i="48" s="1"/>
  <c r="B52" i="48"/>
  <c r="D65" i="8"/>
  <c r="B65" i="8" s="1"/>
  <c r="G64" i="8"/>
  <c r="H64" i="8"/>
  <c r="E56" i="42"/>
  <c r="F56" i="42" s="1"/>
  <c r="D57" i="42" s="1"/>
  <c r="B56" i="42"/>
  <c r="E60" i="45"/>
  <c r="F60" i="45" s="1"/>
  <c r="B60" i="45"/>
  <c r="I56" i="55"/>
  <c r="D50" i="58"/>
  <c r="E50" i="58"/>
  <c r="I54" i="41"/>
  <c r="B64" i="44"/>
  <c r="H64" i="44"/>
  <c r="G64" i="44"/>
  <c r="E66" i="9" l="1"/>
  <c r="F66" i="9" s="1"/>
  <c r="D67" i="9" s="1"/>
  <c r="G66" i="9"/>
  <c r="G52" i="49"/>
  <c r="I62" i="22"/>
  <c r="D56" i="13"/>
  <c r="H55" i="13"/>
  <c r="G55" i="13"/>
  <c r="I57" i="55"/>
  <c r="I58" i="28"/>
  <c r="E62" i="27"/>
  <c r="F62" i="27" s="1"/>
  <c r="I62" i="25"/>
  <c r="I61" i="27"/>
  <c r="I64" i="6"/>
  <c r="I63" i="4"/>
  <c r="I64" i="8"/>
  <c r="I65" i="11"/>
  <c r="G52" i="48"/>
  <c r="D53" i="48"/>
  <c r="E53" i="48"/>
  <c r="H52" i="48"/>
  <c r="G58" i="55"/>
  <c r="D59" i="55"/>
  <c r="G56" i="37"/>
  <c r="D57" i="37"/>
  <c r="H56" i="37"/>
  <c r="D61" i="45"/>
  <c r="G60" i="45"/>
  <c r="H60" i="45"/>
  <c r="D68" i="7"/>
  <c r="G67" i="7"/>
  <c r="H67" i="7"/>
  <c r="E57" i="42"/>
  <c r="F57" i="42" s="1"/>
  <c r="H57" i="42" s="1"/>
  <c r="B57" i="42"/>
  <c r="H56" i="39"/>
  <c r="D57" i="39"/>
  <c r="I52" i="49"/>
  <c r="H56" i="42"/>
  <c r="E64" i="4"/>
  <c r="F64" i="4" s="1"/>
  <c r="H48" i="59"/>
  <c r="D49" i="59"/>
  <c r="E49" i="59"/>
  <c r="E62" i="23"/>
  <c r="F62" i="23" s="1"/>
  <c r="B62" i="23"/>
  <c r="E65" i="6"/>
  <c r="F65" i="6" s="1"/>
  <c r="B65" i="6"/>
  <c r="I57" i="30"/>
  <c r="E63" i="25"/>
  <c r="F63" i="25" s="1"/>
  <c r="B63" i="25"/>
  <c r="E59" i="31"/>
  <c r="F59" i="31" s="1"/>
  <c r="B59" i="31"/>
  <c r="G56" i="42"/>
  <c r="E65" i="8"/>
  <c r="F65" i="8" s="1"/>
  <c r="G56" i="39"/>
  <c r="B58" i="55"/>
  <c r="H58" i="55"/>
  <c r="I61" i="23"/>
  <c r="E60" i="24"/>
  <c r="F60" i="24" s="1"/>
  <c r="B60" i="24"/>
  <c r="E58" i="30"/>
  <c r="F58" i="30" s="1"/>
  <c r="B58" i="30"/>
  <c r="G51" i="57"/>
  <c r="I51" i="57" s="1"/>
  <c r="D52" i="57"/>
  <c r="E52" i="57"/>
  <c r="I59" i="24"/>
  <c r="B50" i="54"/>
  <c r="F50" i="54"/>
  <c r="I58" i="29"/>
  <c r="E57" i="38"/>
  <c r="F57" i="38" s="1"/>
  <c r="H57" i="38" s="1"/>
  <c r="B57" i="38"/>
  <c r="D66" i="44"/>
  <c r="E66" i="44" s="1"/>
  <c r="F66" i="44" s="1"/>
  <c r="E67" i="10"/>
  <c r="F67" i="10" s="1"/>
  <c r="B67" i="10"/>
  <c r="E59" i="28"/>
  <c r="F59" i="28" s="1"/>
  <c r="B59" i="28"/>
  <c r="I64" i="44"/>
  <c r="F50" i="58"/>
  <c r="H50" i="58" s="1"/>
  <c r="D53" i="49"/>
  <c r="E53" i="49"/>
  <c r="I58" i="31"/>
  <c r="E66" i="11"/>
  <c r="F66" i="11" s="1"/>
  <c r="B66" i="11"/>
  <c r="E64" i="3"/>
  <c r="F64" i="3" s="1"/>
  <c r="B64" i="3"/>
  <c r="H62" i="27"/>
  <c r="D63" i="27"/>
  <c r="B63" i="27" s="1"/>
  <c r="G62" i="27"/>
  <c r="B65" i="44"/>
  <c r="H65" i="44"/>
  <c r="G65" i="44"/>
  <c r="E64" i="5"/>
  <c r="F64" i="5" s="1"/>
  <c r="B64" i="5"/>
  <c r="I66" i="10"/>
  <c r="E59" i="29"/>
  <c r="F59" i="29" s="1"/>
  <c r="B59" i="29"/>
  <c r="E67" i="9"/>
  <c r="F67" i="9" s="1"/>
  <c r="B67" i="9"/>
  <c r="I54" i="40"/>
  <c r="H55" i="41"/>
  <c r="I55" i="41" s="1"/>
  <c r="D56" i="41"/>
  <c r="E55" i="43"/>
  <c r="F55" i="43" s="1"/>
  <c r="H55" i="43" s="1"/>
  <c r="B55" i="43"/>
  <c r="B50" i="58"/>
  <c r="E63" i="46"/>
  <c r="F63" i="46" s="1"/>
  <c r="B63" i="46"/>
  <c r="E52" i="47"/>
  <c r="F52" i="47" s="1"/>
  <c r="H52" i="47" s="1"/>
  <c r="B52" i="47"/>
  <c r="I63" i="3"/>
  <c r="E63" i="22"/>
  <c r="F63" i="22" s="1"/>
  <c r="B63" i="22"/>
  <c r="G48" i="59"/>
  <c r="E55" i="40"/>
  <c r="F55" i="40" s="1"/>
  <c r="G55" i="40" s="1"/>
  <c r="B55" i="40"/>
  <c r="H66" i="9" l="1"/>
  <c r="I66" i="9" s="1"/>
  <c r="I55" i="13"/>
  <c r="B56" i="13"/>
  <c r="E56" i="13"/>
  <c r="F56" i="13" s="1"/>
  <c r="I67" i="7"/>
  <c r="I52" i="48"/>
  <c r="I62" i="27"/>
  <c r="I65" i="44"/>
  <c r="I56" i="39"/>
  <c r="G59" i="31"/>
  <c r="D60" i="31"/>
  <c r="H59" i="31"/>
  <c r="G63" i="46"/>
  <c r="D64" i="46"/>
  <c r="H63" i="46"/>
  <c r="H67" i="9"/>
  <c r="G67" i="9"/>
  <c r="D68" i="9"/>
  <c r="H67" i="10"/>
  <c r="D68" i="10"/>
  <c r="B68" i="10" s="1"/>
  <c r="G67" i="10"/>
  <c r="G60" i="24"/>
  <c r="H60" i="24"/>
  <c r="D61" i="24"/>
  <c r="H63" i="25"/>
  <c r="D64" i="25"/>
  <c r="G63" i="25"/>
  <c r="D60" i="28"/>
  <c r="G59" i="28"/>
  <c r="H59" i="28"/>
  <c r="E68" i="7"/>
  <c r="F68" i="7" s="1"/>
  <c r="B68" i="7"/>
  <c r="G55" i="43"/>
  <c r="I55" i="43" s="1"/>
  <c r="D56" i="43"/>
  <c r="H55" i="40"/>
  <c r="I55" i="40" s="1"/>
  <c r="D56" i="40"/>
  <c r="G50" i="58"/>
  <c r="D51" i="58"/>
  <c r="E51" i="58"/>
  <c r="G50" i="54"/>
  <c r="D51" i="54"/>
  <c r="E51" i="54"/>
  <c r="F52" i="57"/>
  <c r="H52" i="57" s="1"/>
  <c r="B52" i="57"/>
  <c r="D66" i="8"/>
  <c r="G65" i="8"/>
  <c r="H65" i="8"/>
  <c r="G64" i="4"/>
  <c r="H64" i="4"/>
  <c r="D65" i="4"/>
  <c r="D67" i="44"/>
  <c r="E67" i="44" s="1"/>
  <c r="F67" i="44" s="1"/>
  <c r="B53" i="49"/>
  <c r="F53" i="49"/>
  <c r="H53" i="49" s="1"/>
  <c r="F49" i="59"/>
  <c r="G49" i="59" s="1"/>
  <c r="B49" i="59"/>
  <c r="E61" i="45"/>
  <c r="F61" i="45" s="1"/>
  <c r="G61" i="45" s="1"/>
  <c r="B61" i="45"/>
  <c r="E59" i="55"/>
  <c r="F59" i="55" s="1"/>
  <c r="B59" i="55"/>
  <c r="B66" i="44"/>
  <c r="G66" i="44"/>
  <c r="H66" i="44"/>
  <c r="G57" i="38"/>
  <c r="I57" i="38" s="1"/>
  <c r="D58" i="38"/>
  <c r="I58" i="55"/>
  <c r="G57" i="42"/>
  <c r="I57" i="42" s="1"/>
  <c r="D58" i="42"/>
  <c r="D67" i="11"/>
  <c r="G66" i="11"/>
  <c r="H66" i="11"/>
  <c r="I48" i="59"/>
  <c r="G58" i="30"/>
  <c r="D59" i="30"/>
  <c r="H58" i="30"/>
  <c r="D66" i="6"/>
  <c r="H65" i="6"/>
  <c r="G65" i="6"/>
  <c r="H64" i="3"/>
  <c r="D65" i="3"/>
  <c r="G64" i="3"/>
  <c r="I56" i="42"/>
  <c r="F53" i="48"/>
  <c r="B53" i="48"/>
  <c r="D64" i="22"/>
  <c r="G63" i="22"/>
  <c r="H63" i="22"/>
  <c r="G62" i="23"/>
  <c r="H62" i="23"/>
  <c r="D63" i="23"/>
  <c r="G52" i="47"/>
  <c r="I52" i="47" s="1"/>
  <c r="D53" i="47"/>
  <c r="H59" i="29"/>
  <c r="D60" i="29"/>
  <c r="G59" i="29"/>
  <c r="D65" i="5"/>
  <c r="G64" i="5"/>
  <c r="H64" i="5"/>
  <c r="I56" i="37"/>
  <c r="I50" i="58"/>
  <c r="E56" i="41"/>
  <c r="F56" i="41" s="1"/>
  <c r="H56" i="41" s="1"/>
  <c r="B56" i="41"/>
  <c r="E63" i="27"/>
  <c r="F63" i="27" s="1"/>
  <c r="H50" i="54"/>
  <c r="E57" i="39"/>
  <c r="F57" i="39" s="1"/>
  <c r="H57" i="39" s="1"/>
  <c r="B57" i="39"/>
  <c r="I60" i="45"/>
  <c r="E57" i="37"/>
  <c r="F57" i="37" s="1"/>
  <c r="B57" i="37"/>
  <c r="I50" i="54" l="1"/>
  <c r="D57" i="13"/>
  <c r="E57" i="13" s="1"/>
  <c r="F57" i="13" s="1"/>
  <c r="D58" i="13" s="1"/>
  <c r="G56" i="13"/>
  <c r="H56" i="13"/>
  <c r="I66" i="44"/>
  <c r="I59" i="31"/>
  <c r="I62" i="23"/>
  <c r="I64" i="3"/>
  <c r="I58" i="30"/>
  <c r="I66" i="11"/>
  <c r="I64" i="4"/>
  <c r="I59" i="28"/>
  <c r="I67" i="10"/>
  <c r="D58" i="37"/>
  <c r="G57" i="37"/>
  <c r="H57" i="37"/>
  <c r="G59" i="55"/>
  <c r="D60" i="55"/>
  <c r="H59" i="55"/>
  <c r="G68" i="7"/>
  <c r="H68" i="7"/>
  <c r="D69" i="7"/>
  <c r="B69" i="7" s="1"/>
  <c r="E60" i="28"/>
  <c r="F60" i="28" s="1"/>
  <c r="B60" i="28"/>
  <c r="I63" i="46"/>
  <c r="E63" i="23"/>
  <c r="F63" i="23" s="1"/>
  <c r="B63" i="23"/>
  <c r="H53" i="48"/>
  <c r="D54" i="48"/>
  <c r="H49" i="59"/>
  <c r="I49" i="59" s="1"/>
  <c r="D50" i="59"/>
  <c r="E50" i="59"/>
  <c r="G52" i="57"/>
  <c r="D53" i="57"/>
  <c r="E53" i="57"/>
  <c r="E64" i="46"/>
  <c r="F64" i="46" s="1"/>
  <c r="B64" i="46"/>
  <c r="E64" i="25"/>
  <c r="F64" i="25" s="1"/>
  <c r="B64" i="25"/>
  <c r="E59" i="30"/>
  <c r="F59" i="30" s="1"/>
  <c r="B59" i="30"/>
  <c r="E56" i="40"/>
  <c r="F56" i="40" s="1"/>
  <c r="G56" i="40" s="1"/>
  <c r="B56" i="40"/>
  <c r="I63" i="25"/>
  <c r="I60" i="24"/>
  <c r="E65" i="5"/>
  <c r="F65" i="5" s="1"/>
  <c r="B65" i="5"/>
  <c r="E68" i="9"/>
  <c r="F68" i="9" s="1"/>
  <c r="B68" i="9"/>
  <c r="E60" i="29"/>
  <c r="F60" i="29" s="1"/>
  <c r="B60" i="29"/>
  <c r="I63" i="22"/>
  <c r="E58" i="42"/>
  <c r="F58" i="42" s="1"/>
  <c r="B58" i="42"/>
  <c r="E58" i="38"/>
  <c r="F58" i="38" s="1"/>
  <c r="B58" i="38"/>
  <c r="I65" i="8"/>
  <c r="F51" i="54"/>
  <c r="G51" i="54" s="1"/>
  <c r="B51" i="54"/>
  <c r="I67" i="9"/>
  <c r="E60" i="31"/>
  <c r="F60" i="31" s="1"/>
  <c r="B60" i="31"/>
  <c r="G57" i="39"/>
  <c r="I57" i="39" s="1"/>
  <c r="D58" i="39"/>
  <c r="H63" i="27"/>
  <c r="D64" i="27"/>
  <c r="G63" i="27"/>
  <c r="G56" i="41"/>
  <c r="I56" i="41" s="1"/>
  <c r="D57" i="41"/>
  <c r="I59" i="29"/>
  <c r="I65" i="6"/>
  <c r="H61" i="45"/>
  <c r="I61" i="45" s="1"/>
  <c r="D62" i="45"/>
  <c r="E62" i="45" s="1"/>
  <c r="F62" i="45" s="1"/>
  <c r="D63" i="45" s="1"/>
  <c r="G67" i="44"/>
  <c r="D68" i="44"/>
  <c r="E68" i="44" s="1"/>
  <c r="F68" i="44" s="1"/>
  <c r="E56" i="43"/>
  <c r="F56" i="43" s="1"/>
  <c r="D57" i="43" s="1"/>
  <c r="B56" i="43"/>
  <c r="E61" i="24"/>
  <c r="F61" i="24" s="1"/>
  <c r="B61" i="24"/>
  <c r="E64" i="22"/>
  <c r="F64" i="22" s="1"/>
  <c r="B64" i="22"/>
  <c r="E66" i="6"/>
  <c r="F66" i="6" s="1"/>
  <c r="B66" i="6"/>
  <c r="G53" i="49"/>
  <c r="I53" i="49" s="1"/>
  <c r="D54" i="49"/>
  <c r="E54" i="49"/>
  <c r="B67" i="44"/>
  <c r="H67" i="44"/>
  <c r="E66" i="8"/>
  <c r="F66" i="8" s="1"/>
  <c r="B66" i="8"/>
  <c r="E68" i="10"/>
  <c r="F68" i="10" s="1"/>
  <c r="E53" i="47"/>
  <c r="F53" i="47" s="1"/>
  <c r="D54" i="47" s="1"/>
  <c r="B53" i="47"/>
  <c r="G53" i="48"/>
  <c r="I53" i="48" s="1"/>
  <c r="E65" i="3"/>
  <c r="F65" i="3" s="1"/>
  <c r="B65" i="3"/>
  <c r="E67" i="11"/>
  <c r="F67" i="11" s="1"/>
  <c r="B67" i="11"/>
  <c r="E65" i="4"/>
  <c r="F65" i="4" s="1"/>
  <c r="B65" i="4"/>
  <c r="I52" i="57"/>
  <c r="B51" i="58"/>
  <c r="F51" i="58"/>
  <c r="H51" i="58" s="1"/>
  <c r="I56" i="13" l="1"/>
  <c r="E58" i="13"/>
  <c r="F58" i="13" s="1"/>
  <c r="D59" i="13" s="1"/>
  <c r="B58" i="13"/>
  <c r="G58" i="13"/>
  <c r="B57" i="13"/>
  <c r="G57" i="13"/>
  <c r="H57" i="13"/>
  <c r="I59" i="55"/>
  <c r="I67" i="44"/>
  <c r="H53" i="47"/>
  <c r="I68" i="7"/>
  <c r="E63" i="45"/>
  <c r="F63" i="45" s="1"/>
  <c r="G63" i="45" s="1"/>
  <c r="B63" i="45"/>
  <c r="H58" i="38"/>
  <c r="D59" i="38"/>
  <c r="G58" i="38"/>
  <c r="H64" i="46"/>
  <c r="D65" i="46"/>
  <c r="E65" i="46" s="1"/>
  <c r="F65" i="46" s="1"/>
  <c r="D66" i="46" s="1"/>
  <c r="G64" i="46"/>
  <c r="G65" i="4"/>
  <c r="H65" i="4"/>
  <c r="D66" i="4"/>
  <c r="B66" i="4" s="1"/>
  <c r="D60" i="30"/>
  <c r="H59" i="30"/>
  <c r="G59" i="30"/>
  <c r="D65" i="22"/>
  <c r="G64" i="22"/>
  <c r="H64" i="22"/>
  <c r="G64" i="25"/>
  <c r="H64" i="25"/>
  <c r="D65" i="25"/>
  <c r="D61" i="31"/>
  <c r="H60" i="31"/>
  <c r="G60" i="31"/>
  <c r="H58" i="42"/>
  <c r="D59" i="42"/>
  <c r="G58" i="42"/>
  <c r="D69" i="44"/>
  <c r="E69" i="44" s="1"/>
  <c r="F69" i="44" s="1"/>
  <c r="G60" i="29"/>
  <c r="H60" i="29"/>
  <c r="D61" i="29"/>
  <c r="D66" i="5"/>
  <c r="B66" i="5" s="1"/>
  <c r="H65" i="5"/>
  <c r="G65" i="5"/>
  <c r="B54" i="49"/>
  <c r="F54" i="49"/>
  <c r="H54" i="49" s="1"/>
  <c r="G56" i="43"/>
  <c r="H51" i="54"/>
  <c r="I51" i="54" s="1"/>
  <c r="D52" i="54"/>
  <c r="E52" i="54"/>
  <c r="F50" i="59"/>
  <c r="G50" i="59" s="1"/>
  <c r="B50" i="59"/>
  <c r="G51" i="58"/>
  <c r="I51" i="58" s="1"/>
  <c r="D52" i="58"/>
  <c r="E52" i="58"/>
  <c r="G67" i="11"/>
  <c r="D68" i="11"/>
  <c r="B68" i="11" s="1"/>
  <c r="H67" i="11"/>
  <c r="G53" i="47"/>
  <c r="I53" i="47" s="1"/>
  <c r="B62" i="45"/>
  <c r="G62" i="45"/>
  <c r="H62" i="45"/>
  <c r="E57" i="41"/>
  <c r="F57" i="41" s="1"/>
  <c r="D58" i="41" s="1"/>
  <c r="B57" i="41"/>
  <c r="D61" i="28"/>
  <c r="G60" i="28"/>
  <c r="H60" i="28"/>
  <c r="E64" i="27"/>
  <c r="F64" i="27" s="1"/>
  <c r="B64" i="27"/>
  <c r="E54" i="48"/>
  <c r="F54" i="48" s="1"/>
  <c r="G54" i="48" s="1"/>
  <c r="B54" i="48"/>
  <c r="E60" i="55"/>
  <c r="F60" i="55" s="1"/>
  <c r="B60" i="55"/>
  <c r="E57" i="43"/>
  <c r="F57" i="43" s="1"/>
  <c r="B57" i="43"/>
  <c r="E54" i="47"/>
  <c r="F54" i="47" s="1"/>
  <c r="B54" i="47"/>
  <c r="I63" i="27"/>
  <c r="E69" i="7"/>
  <c r="F69" i="7" s="1"/>
  <c r="G68" i="9"/>
  <c r="H68" i="9"/>
  <c r="D69" i="9"/>
  <c r="B69" i="9" s="1"/>
  <c r="B68" i="44"/>
  <c r="H68" i="44"/>
  <c r="G68" i="44"/>
  <c r="E58" i="39"/>
  <c r="F58" i="39" s="1"/>
  <c r="H58" i="39" s="1"/>
  <c r="B58" i="39"/>
  <c r="B53" i="57"/>
  <c r="F53" i="57"/>
  <c r="H53" i="57" s="1"/>
  <c r="I57" i="37"/>
  <c r="D67" i="8"/>
  <c r="G66" i="8"/>
  <c r="H66" i="8"/>
  <c r="H56" i="40"/>
  <c r="I56" i="40" s="1"/>
  <c r="D57" i="40"/>
  <c r="H63" i="23"/>
  <c r="G63" i="23"/>
  <c r="D64" i="23"/>
  <c r="H65" i="3"/>
  <c r="D66" i="3"/>
  <c r="B66" i="3" s="1"/>
  <c r="G65" i="3"/>
  <c r="H61" i="24"/>
  <c r="G61" i="24"/>
  <c r="D62" i="24"/>
  <c r="H68" i="10"/>
  <c r="D69" i="10"/>
  <c r="G68" i="10"/>
  <c r="H66" i="6"/>
  <c r="G66" i="6"/>
  <c r="D67" i="6"/>
  <c r="H56" i="43"/>
  <c r="E58" i="37"/>
  <c r="F58" i="37" s="1"/>
  <c r="B58" i="37"/>
  <c r="H58" i="13" l="1"/>
  <c r="I57" i="13"/>
  <c r="E69" i="9"/>
  <c r="F69" i="9" s="1"/>
  <c r="I56" i="43"/>
  <c r="I66" i="8"/>
  <c r="I62" i="45"/>
  <c r="I63" i="23"/>
  <c r="I58" i="38"/>
  <c r="I58" i="13"/>
  <c r="E59" i="13"/>
  <c r="F59" i="13" s="1"/>
  <c r="G59" i="13" s="1"/>
  <c r="B59" i="13"/>
  <c r="H59" i="13"/>
  <c r="H57" i="41"/>
  <c r="E66" i="5"/>
  <c r="F66" i="5" s="1"/>
  <c r="G66" i="5" s="1"/>
  <c r="G57" i="41"/>
  <c r="I68" i="9"/>
  <c r="I64" i="25"/>
  <c r="D61" i="55"/>
  <c r="E61" i="55" s="1"/>
  <c r="F61" i="55" s="1"/>
  <c r="G60" i="55"/>
  <c r="H60" i="55"/>
  <c r="D70" i="44"/>
  <c r="E70" i="44" s="1"/>
  <c r="F70" i="44" s="1"/>
  <c r="D59" i="37"/>
  <c r="G58" i="37"/>
  <c r="H58" i="37"/>
  <c r="H54" i="47"/>
  <c r="D55" i="47"/>
  <c r="G54" i="47"/>
  <c r="E66" i="3"/>
  <c r="F66" i="3" s="1"/>
  <c r="G69" i="9"/>
  <c r="H69" i="9"/>
  <c r="D70" i="9"/>
  <c r="G57" i="43"/>
  <c r="D58" i="43"/>
  <c r="I67" i="11"/>
  <c r="E61" i="29"/>
  <c r="F61" i="29" s="1"/>
  <c r="B61" i="29"/>
  <c r="E59" i="42"/>
  <c r="F59" i="42" s="1"/>
  <c r="B59" i="42"/>
  <c r="E61" i="31"/>
  <c r="F61" i="31" s="1"/>
  <c r="B61" i="31"/>
  <c r="H64" i="27"/>
  <c r="D65" i="27"/>
  <c r="B65" i="27" s="1"/>
  <c r="G64" i="27"/>
  <c r="I66" i="6"/>
  <c r="I60" i="29"/>
  <c r="E65" i="25"/>
  <c r="F65" i="25" s="1"/>
  <c r="B65" i="25"/>
  <c r="I59" i="30"/>
  <c r="E66" i="4"/>
  <c r="F66" i="4" s="1"/>
  <c r="F52" i="54"/>
  <c r="G52" i="54" s="1"/>
  <c r="B52" i="54"/>
  <c r="E60" i="30"/>
  <c r="F60" i="30" s="1"/>
  <c r="B60" i="30"/>
  <c r="E59" i="38"/>
  <c r="F59" i="38" s="1"/>
  <c r="B59" i="38"/>
  <c r="E69" i="10"/>
  <c r="F69" i="10" s="1"/>
  <c r="B69" i="10"/>
  <c r="I65" i="3"/>
  <c r="G58" i="39"/>
  <c r="I58" i="39" s="1"/>
  <c r="D59" i="39"/>
  <c r="E58" i="41"/>
  <c r="F58" i="41" s="1"/>
  <c r="H58" i="41" s="1"/>
  <c r="B58" i="41"/>
  <c r="I65" i="4"/>
  <c r="H54" i="48"/>
  <c r="I54" i="48" s="1"/>
  <c r="D55" i="48"/>
  <c r="B52" i="58"/>
  <c r="F52" i="58"/>
  <c r="H52" i="58" s="1"/>
  <c r="E62" i="24"/>
  <c r="F62" i="24" s="1"/>
  <c r="B62" i="24"/>
  <c r="I60" i="28"/>
  <c r="I64" i="22"/>
  <c r="I64" i="46"/>
  <c r="I68" i="10"/>
  <c r="E64" i="23"/>
  <c r="F64" i="23" s="1"/>
  <c r="B64" i="23"/>
  <c r="G53" i="57"/>
  <c r="I53" i="57" s="1"/>
  <c r="D54" i="57"/>
  <c r="E54" i="57"/>
  <c r="D70" i="7"/>
  <c r="G69" i="7"/>
  <c r="H69" i="7"/>
  <c r="H57" i="43"/>
  <c r="H50" i="59"/>
  <c r="I50" i="59" s="1"/>
  <c r="D51" i="59"/>
  <c r="E51" i="59"/>
  <c r="G54" i="49"/>
  <c r="I54" i="49" s="1"/>
  <c r="D55" i="49"/>
  <c r="B69" i="44"/>
  <c r="H69" i="44"/>
  <c r="G69" i="44"/>
  <c r="E66" i="46"/>
  <c r="F66" i="46" s="1"/>
  <c r="H66" i="46" s="1"/>
  <c r="B66" i="46"/>
  <c r="H63" i="45"/>
  <c r="I63" i="45" s="1"/>
  <c r="D64" i="45"/>
  <c r="E57" i="40"/>
  <c r="F57" i="40" s="1"/>
  <c r="H57" i="40" s="1"/>
  <c r="B57" i="40"/>
  <c r="E67" i="8"/>
  <c r="F67" i="8" s="1"/>
  <c r="B67" i="8"/>
  <c r="E67" i="6"/>
  <c r="F67" i="6" s="1"/>
  <c r="B67" i="6"/>
  <c r="I61" i="24"/>
  <c r="I68" i="44"/>
  <c r="E61" i="28"/>
  <c r="F61" i="28" s="1"/>
  <c r="B61" i="28"/>
  <c r="E68" i="11"/>
  <c r="F68" i="11" s="1"/>
  <c r="I58" i="42"/>
  <c r="I60" i="31"/>
  <c r="E65" i="22"/>
  <c r="F65" i="22" s="1"/>
  <c r="B65" i="22"/>
  <c r="B65" i="46"/>
  <c r="H65" i="46"/>
  <c r="G65" i="46"/>
  <c r="H66" i="5" l="1"/>
  <c r="D67" i="5"/>
  <c r="I69" i="7"/>
  <c r="I64" i="27"/>
  <c r="I57" i="43"/>
  <c r="I69" i="44"/>
  <c r="G52" i="58"/>
  <c r="I52" i="58" s="1"/>
  <c r="G66" i="46"/>
  <c r="I66" i="46" s="1"/>
  <c r="I57" i="41"/>
  <c r="I59" i="13"/>
  <c r="D60" i="13"/>
  <c r="E60" i="13" s="1"/>
  <c r="F60" i="13" s="1"/>
  <c r="I60" i="55"/>
  <c r="I58" i="37"/>
  <c r="H59" i="38"/>
  <c r="D60" i="38"/>
  <c r="G59" i="38"/>
  <c r="H59" i="42"/>
  <c r="D60" i="42"/>
  <c r="G59" i="42"/>
  <c r="H67" i="8"/>
  <c r="G67" i="8"/>
  <c r="D68" i="8"/>
  <c r="B68" i="8" s="1"/>
  <c r="D68" i="6"/>
  <c r="B68" i="6" s="1"/>
  <c r="G67" i="6"/>
  <c r="H67" i="6"/>
  <c r="D62" i="28"/>
  <c r="G61" i="28"/>
  <c r="H61" i="28"/>
  <c r="H65" i="25"/>
  <c r="D66" i="25"/>
  <c r="B66" i="25" s="1"/>
  <c r="G65" i="25"/>
  <c r="D66" i="22"/>
  <c r="H65" i="22"/>
  <c r="G65" i="22"/>
  <c r="E70" i="9"/>
  <c r="F70" i="9" s="1"/>
  <c r="B70" i="9"/>
  <c r="I54" i="47"/>
  <c r="E64" i="45"/>
  <c r="F64" i="45" s="1"/>
  <c r="G64" i="45" s="1"/>
  <c r="B64" i="45"/>
  <c r="E55" i="48"/>
  <c r="F55" i="48" s="1"/>
  <c r="B55" i="48"/>
  <c r="D53" i="54"/>
  <c r="E53" i="54"/>
  <c r="I69" i="9"/>
  <c r="E55" i="47"/>
  <c r="F55" i="47" s="1"/>
  <c r="B55" i="47"/>
  <c r="G61" i="29"/>
  <c r="H61" i="29"/>
  <c r="D62" i="29"/>
  <c r="F54" i="57"/>
  <c r="G54" i="57" s="1"/>
  <c r="B54" i="57"/>
  <c r="D61" i="30"/>
  <c r="G60" i="30"/>
  <c r="H60" i="30"/>
  <c r="B70" i="44"/>
  <c r="H70" i="44"/>
  <c r="G70" i="44"/>
  <c r="H66" i="4"/>
  <c r="D67" i="4"/>
  <c r="G66" i="4"/>
  <c r="D62" i="31"/>
  <c r="H61" i="31"/>
  <c r="G61" i="31"/>
  <c r="D67" i="3"/>
  <c r="H66" i="3"/>
  <c r="G66" i="3"/>
  <c r="D71" i="44"/>
  <c r="E71" i="44" s="1"/>
  <c r="F71" i="44" s="1"/>
  <c r="F51" i="59"/>
  <c r="B51" i="59"/>
  <c r="D53" i="58"/>
  <c r="E53" i="58"/>
  <c r="E59" i="37"/>
  <c r="F59" i="37" s="1"/>
  <c r="B59" i="37"/>
  <c r="D67" i="46"/>
  <c r="E67" i="46" s="1"/>
  <c r="F67" i="46" s="1"/>
  <c r="D68" i="46" s="1"/>
  <c r="I65" i="46"/>
  <c r="G57" i="40"/>
  <c r="I57" i="40" s="1"/>
  <c r="D58" i="40"/>
  <c r="E55" i="49"/>
  <c r="F55" i="49" s="1"/>
  <c r="B55" i="49"/>
  <c r="E67" i="5"/>
  <c r="F67" i="5" s="1"/>
  <c r="B67" i="5"/>
  <c r="E59" i="39"/>
  <c r="F59" i="39" s="1"/>
  <c r="G59" i="39" s="1"/>
  <c r="B59" i="39"/>
  <c r="E58" i="43"/>
  <c r="F58" i="43" s="1"/>
  <c r="G58" i="43" s="1"/>
  <c r="B58" i="43"/>
  <c r="H61" i="55"/>
  <c r="D62" i="55"/>
  <c r="E62" i="55" s="1"/>
  <c r="F62" i="55" s="1"/>
  <c r="G58" i="41"/>
  <c r="I58" i="41" s="1"/>
  <c r="D59" i="41"/>
  <c r="D70" i="10"/>
  <c r="B70" i="10" s="1"/>
  <c r="G69" i="10"/>
  <c r="H69" i="10"/>
  <c r="G68" i="11"/>
  <c r="H68" i="11"/>
  <c r="D69" i="11"/>
  <c r="H64" i="23"/>
  <c r="D65" i="23"/>
  <c r="G64" i="23"/>
  <c r="G62" i="24"/>
  <c r="H62" i="24"/>
  <c r="D63" i="24"/>
  <c r="E70" i="7"/>
  <c r="F70" i="7" s="1"/>
  <c r="B70" i="7"/>
  <c r="H52" i="54"/>
  <c r="I52" i="54" s="1"/>
  <c r="E65" i="27"/>
  <c r="F65" i="27" s="1"/>
  <c r="B61" i="55"/>
  <c r="G61" i="55"/>
  <c r="I67" i="6" l="1"/>
  <c r="I59" i="42"/>
  <c r="I70" i="44"/>
  <c r="D61" i="13"/>
  <c r="E61" i="13" s="1"/>
  <c r="F61" i="13" s="1"/>
  <c r="I69" i="10"/>
  <c r="B60" i="13"/>
  <c r="H60" i="13"/>
  <c r="G60" i="13"/>
  <c r="I61" i="28"/>
  <c r="I59" i="38"/>
  <c r="E68" i="8"/>
  <c r="F68" i="8" s="1"/>
  <c r="E68" i="6"/>
  <c r="F68" i="6" s="1"/>
  <c r="G68" i="6" s="1"/>
  <c r="F53" i="54"/>
  <c r="D54" i="54" s="1"/>
  <c r="I60" i="30"/>
  <c r="I61" i="55"/>
  <c r="I66" i="3"/>
  <c r="I66" i="4"/>
  <c r="I62" i="24"/>
  <c r="I61" i="29"/>
  <c r="I65" i="25"/>
  <c r="H55" i="48"/>
  <c r="D56" i="48"/>
  <c r="G55" i="48"/>
  <c r="H55" i="49"/>
  <c r="D56" i="49"/>
  <c r="G55" i="49"/>
  <c r="G67" i="5"/>
  <c r="H67" i="5"/>
  <c r="D68" i="5"/>
  <c r="D72" i="44"/>
  <c r="E72" i="44" s="1"/>
  <c r="E73" i="44" s="1"/>
  <c r="E68" i="46"/>
  <c r="F68" i="46" s="1"/>
  <c r="B68" i="46"/>
  <c r="G70" i="9"/>
  <c r="H70" i="9"/>
  <c r="D71" i="9"/>
  <c r="H62" i="55"/>
  <c r="D63" i="55"/>
  <c r="H55" i="47"/>
  <c r="D56" i="47"/>
  <c r="G55" i="47"/>
  <c r="E63" i="24"/>
  <c r="F63" i="24" s="1"/>
  <c r="B63" i="24"/>
  <c r="I68" i="11"/>
  <c r="E59" i="41"/>
  <c r="F59" i="41" s="1"/>
  <c r="B59" i="41"/>
  <c r="H58" i="43"/>
  <c r="I58" i="43" s="1"/>
  <c r="D59" i="43"/>
  <c r="H59" i="39"/>
  <c r="I59" i="39" s="1"/>
  <c r="D60" i="39"/>
  <c r="E58" i="40"/>
  <c r="F58" i="40" s="1"/>
  <c r="B58" i="40"/>
  <c r="B53" i="58"/>
  <c r="F53" i="58"/>
  <c r="G53" i="58" s="1"/>
  <c r="E67" i="3"/>
  <c r="F67" i="3" s="1"/>
  <c r="B67" i="3"/>
  <c r="B53" i="54"/>
  <c r="E60" i="42"/>
  <c r="F60" i="42" s="1"/>
  <c r="B60" i="42"/>
  <c r="G70" i="7"/>
  <c r="H70" i="7"/>
  <c r="D71" i="7"/>
  <c r="B62" i="55"/>
  <c r="G62" i="55"/>
  <c r="I61" i="31"/>
  <c r="H59" i="37"/>
  <c r="D60" i="37"/>
  <c r="B71" i="44"/>
  <c r="G71" i="44"/>
  <c r="H71" i="44"/>
  <c r="E62" i="31"/>
  <c r="F62" i="31" s="1"/>
  <c r="B62" i="31"/>
  <c r="I65" i="22"/>
  <c r="D69" i="8"/>
  <c r="G68" i="8"/>
  <c r="H68" i="8"/>
  <c r="E60" i="38"/>
  <c r="F60" i="38" s="1"/>
  <c r="H60" i="38" s="1"/>
  <c r="B60" i="38"/>
  <c r="E69" i="11"/>
  <c r="F69" i="11" s="1"/>
  <c r="B69" i="11"/>
  <c r="D52" i="59"/>
  <c r="E52" i="59"/>
  <c r="G65" i="27"/>
  <c r="D66" i="27"/>
  <c r="B66" i="27" s="1"/>
  <c r="H65" i="27"/>
  <c r="E70" i="10"/>
  <c r="F70" i="10" s="1"/>
  <c r="B67" i="46"/>
  <c r="G67" i="46"/>
  <c r="H67" i="46"/>
  <c r="G51" i="59"/>
  <c r="E62" i="29"/>
  <c r="F62" i="29" s="1"/>
  <c r="B62" i="29"/>
  <c r="E66" i="22"/>
  <c r="F66" i="22" s="1"/>
  <c r="B66" i="22"/>
  <c r="E62" i="28"/>
  <c r="F62" i="28" s="1"/>
  <c r="B62" i="28"/>
  <c r="E65" i="23"/>
  <c r="F65" i="23" s="1"/>
  <c r="B65" i="23"/>
  <c r="G59" i="37"/>
  <c r="H51" i="59"/>
  <c r="H54" i="57"/>
  <c r="I54" i="57" s="1"/>
  <c r="D55" i="57"/>
  <c r="E55" i="57" s="1"/>
  <c r="H64" i="45"/>
  <c r="I64" i="45" s="1"/>
  <c r="D65" i="45"/>
  <c r="E65" i="45" s="1"/>
  <c r="F65" i="45" s="1"/>
  <c r="E66" i="25"/>
  <c r="F66" i="25" s="1"/>
  <c r="I64" i="23"/>
  <c r="E67" i="4"/>
  <c r="F67" i="4" s="1"/>
  <c r="B67" i="4"/>
  <c r="E61" i="30"/>
  <c r="F61" i="30" s="1"/>
  <c r="B61" i="30"/>
  <c r="I67" i="8"/>
  <c r="E66" i="27" l="1"/>
  <c r="F66" i="27" s="1"/>
  <c r="H53" i="54"/>
  <c r="G53" i="54"/>
  <c r="D69" i="6"/>
  <c r="H68" i="6"/>
  <c r="I68" i="6" s="1"/>
  <c r="I53" i="54"/>
  <c r="I62" i="55"/>
  <c r="I60" i="13"/>
  <c r="I59" i="37"/>
  <c r="I68" i="8"/>
  <c r="E54" i="54"/>
  <c r="F54" i="54" s="1"/>
  <c r="H54" i="54" s="1"/>
  <c r="I55" i="49"/>
  <c r="D62" i="13"/>
  <c r="E62" i="13" s="1"/>
  <c r="F62" i="13" s="1"/>
  <c r="H61" i="13"/>
  <c r="B61" i="13"/>
  <c r="G61" i="13"/>
  <c r="I55" i="48"/>
  <c r="I51" i="59"/>
  <c r="I71" i="44"/>
  <c r="H59" i="41"/>
  <c r="D60" i="41"/>
  <c r="G59" i="41"/>
  <c r="G60" i="42"/>
  <c r="D61" i="42"/>
  <c r="H60" i="42"/>
  <c r="H68" i="46"/>
  <c r="D69" i="46"/>
  <c r="G68" i="46"/>
  <c r="H62" i="31"/>
  <c r="D63" i="31"/>
  <c r="B63" i="31" s="1"/>
  <c r="G62" i="31"/>
  <c r="H58" i="40"/>
  <c r="D59" i="40"/>
  <c r="G58" i="40"/>
  <c r="H65" i="23"/>
  <c r="D66" i="23"/>
  <c r="G65" i="23"/>
  <c r="D70" i="11"/>
  <c r="G69" i="11"/>
  <c r="H69" i="11"/>
  <c r="E59" i="43"/>
  <c r="F59" i="43" s="1"/>
  <c r="B59" i="43"/>
  <c r="G63" i="24"/>
  <c r="D64" i="24"/>
  <c r="H63" i="24"/>
  <c r="B72" i="44"/>
  <c r="F72" i="44"/>
  <c r="G72" i="44" s="1"/>
  <c r="G73" i="44" s="1"/>
  <c r="E56" i="48"/>
  <c r="F56" i="48" s="1"/>
  <c r="B56" i="48"/>
  <c r="H67" i="4"/>
  <c r="D68" i="4"/>
  <c r="G67" i="4"/>
  <c r="B54" i="54"/>
  <c r="D67" i="22"/>
  <c r="H66" i="22"/>
  <c r="G66" i="22"/>
  <c r="G70" i="10"/>
  <c r="D71" i="10"/>
  <c r="H70" i="10"/>
  <c r="E69" i="8"/>
  <c r="F69" i="8" s="1"/>
  <c r="B69" i="8"/>
  <c r="H67" i="3"/>
  <c r="G67" i="3"/>
  <c r="D68" i="3"/>
  <c r="E68" i="5"/>
  <c r="F68" i="5" s="1"/>
  <c r="B68" i="5"/>
  <c r="F52" i="59"/>
  <c r="H52" i="59" s="1"/>
  <c r="B52" i="59"/>
  <c r="E56" i="47"/>
  <c r="F56" i="47" s="1"/>
  <c r="B56" i="47"/>
  <c r="G66" i="27"/>
  <c r="D67" i="27"/>
  <c r="B67" i="27" s="1"/>
  <c r="H66" i="27"/>
  <c r="G62" i="29"/>
  <c r="H62" i="29"/>
  <c r="D63" i="29"/>
  <c r="B65" i="45"/>
  <c r="H65" i="45"/>
  <c r="G65" i="45"/>
  <c r="I65" i="27"/>
  <c r="E60" i="37"/>
  <c r="F60" i="37" s="1"/>
  <c r="H60" i="37" s="1"/>
  <c r="B60" i="37"/>
  <c r="E71" i="7"/>
  <c r="F71" i="7" s="1"/>
  <c r="B71" i="7"/>
  <c r="E69" i="6"/>
  <c r="F69" i="6" s="1"/>
  <c r="B69" i="6"/>
  <c r="E63" i="55"/>
  <c r="F63" i="55" s="1"/>
  <c r="D64" i="55" s="1"/>
  <c r="B63" i="55"/>
  <c r="G61" i="30"/>
  <c r="H61" i="30"/>
  <c r="D62" i="30"/>
  <c r="I70" i="7"/>
  <c r="G62" i="28"/>
  <c r="H62" i="28"/>
  <c r="D63" i="28"/>
  <c r="B63" i="28" s="1"/>
  <c r="H53" i="58"/>
  <c r="I53" i="58" s="1"/>
  <c r="D54" i="58"/>
  <c r="E54" i="58"/>
  <c r="E71" i="9"/>
  <c r="F71" i="9" s="1"/>
  <c r="B71" i="9"/>
  <c r="E56" i="49"/>
  <c r="F56" i="49" s="1"/>
  <c r="B56" i="49"/>
  <c r="D66" i="45"/>
  <c r="G60" i="38"/>
  <c r="I60" i="38" s="1"/>
  <c r="D61" i="38"/>
  <c r="D67" i="25"/>
  <c r="H66" i="25"/>
  <c r="G66" i="25"/>
  <c r="F55" i="57"/>
  <c r="H55" i="57" s="1"/>
  <c r="B55" i="57"/>
  <c r="I67" i="46"/>
  <c r="E60" i="39"/>
  <c r="F60" i="39" s="1"/>
  <c r="B60" i="39"/>
  <c r="I55" i="47"/>
  <c r="I70" i="9"/>
  <c r="I61" i="30" l="1"/>
  <c r="I59" i="41"/>
  <c r="I61" i="13"/>
  <c r="D63" i="13"/>
  <c r="E63" i="13" s="1"/>
  <c r="F63" i="13" s="1"/>
  <c r="I58" i="40"/>
  <c r="B62" i="13"/>
  <c r="G62" i="13"/>
  <c r="H62" i="13"/>
  <c r="I67" i="3"/>
  <c r="I63" i="24"/>
  <c r="H63" i="55"/>
  <c r="E63" i="31"/>
  <c r="F63" i="31" s="1"/>
  <c r="D64" i="31" s="1"/>
  <c r="B64" i="31" s="1"/>
  <c r="H72" i="44"/>
  <c r="H73" i="44" s="1"/>
  <c r="I62" i="31"/>
  <c r="I62" i="28"/>
  <c r="I60" i="42"/>
  <c r="G59" i="43"/>
  <c r="D60" i="43"/>
  <c r="H59" i="43"/>
  <c r="E67" i="25"/>
  <c r="F67" i="25" s="1"/>
  <c r="B67" i="25"/>
  <c r="G56" i="48"/>
  <c r="D57" i="48"/>
  <c r="E64" i="55"/>
  <c r="F64" i="55" s="1"/>
  <c r="D65" i="55" s="1"/>
  <c r="B64" i="55"/>
  <c r="G60" i="37"/>
  <c r="I60" i="37" s="1"/>
  <c r="D61" i="37"/>
  <c r="E70" i="11"/>
  <c r="F70" i="11" s="1"/>
  <c r="B70" i="11"/>
  <c r="E66" i="23"/>
  <c r="F66" i="23" s="1"/>
  <c r="B66" i="23"/>
  <c r="E59" i="40"/>
  <c r="F59" i="40" s="1"/>
  <c r="H59" i="40" s="1"/>
  <c r="B59" i="40"/>
  <c r="H56" i="47"/>
  <c r="D57" i="47"/>
  <c r="E71" i="10"/>
  <c r="F71" i="10" s="1"/>
  <c r="B71" i="10"/>
  <c r="E69" i="46"/>
  <c r="F69" i="46" s="1"/>
  <c r="B69" i="46"/>
  <c r="E55" i="54"/>
  <c r="D55" i="54"/>
  <c r="I65" i="23"/>
  <c r="H71" i="9"/>
  <c r="G71" i="9"/>
  <c r="D72" i="9"/>
  <c r="E72" i="9" s="1"/>
  <c r="E73" i="9" s="1"/>
  <c r="E61" i="42"/>
  <c r="F61" i="42" s="1"/>
  <c r="B61" i="42"/>
  <c r="H69" i="6"/>
  <c r="D70" i="6"/>
  <c r="B70" i="6" s="1"/>
  <c r="G69" i="6"/>
  <c r="E63" i="29"/>
  <c r="F63" i="29" s="1"/>
  <c r="B63" i="29"/>
  <c r="G52" i="59"/>
  <c r="I52" i="59" s="1"/>
  <c r="D53" i="59"/>
  <c r="E53" i="59"/>
  <c r="G69" i="8"/>
  <c r="H69" i="8"/>
  <c r="D70" i="8"/>
  <c r="E68" i="4"/>
  <c r="F68" i="4" s="1"/>
  <c r="B68" i="4"/>
  <c r="I62" i="29"/>
  <c r="I66" i="22"/>
  <c r="I67" i="4"/>
  <c r="B66" i="45"/>
  <c r="G55" i="57"/>
  <c r="I55" i="57" s="1"/>
  <c r="D56" i="57"/>
  <c r="E61" i="38"/>
  <c r="F61" i="38" s="1"/>
  <c r="B61" i="38"/>
  <c r="E67" i="27"/>
  <c r="F67" i="27" s="1"/>
  <c r="G56" i="47"/>
  <c r="D69" i="5"/>
  <c r="B69" i="5" s="1"/>
  <c r="H68" i="5"/>
  <c r="G68" i="5"/>
  <c r="E68" i="3"/>
  <c r="F68" i="3" s="1"/>
  <c r="B68" i="3"/>
  <c r="E67" i="22"/>
  <c r="F67" i="22" s="1"/>
  <c r="B67" i="22"/>
  <c r="H56" i="48"/>
  <c r="E64" i="24"/>
  <c r="F64" i="24" s="1"/>
  <c r="B64" i="24"/>
  <c r="E60" i="41"/>
  <c r="F60" i="41" s="1"/>
  <c r="B60" i="41"/>
  <c r="G60" i="39"/>
  <c r="D61" i="39"/>
  <c r="D57" i="49"/>
  <c r="G71" i="7"/>
  <c r="H71" i="7"/>
  <c r="D72" i="7"/>
  <c r="E72" i="7" s="1"/>
  <c r="E73" i="7" s="1"/>
  <c r="H60" i="39"/>
  <c r="H56" i="49"/>
  <c r="I66" i="25"/>
  <c r="E66" i="45"/>
  <c r="F66" i="45" s="1"/>
  <c r="D67" i="45" s="1"/>
  <c r="G56" i="49"/>
  <c r="B54" i="58"/>
  <c r="F54" i="58"/>
  <c r="H54" i="58" s="1"/>
  <c r="E63" i="28"/>
  <c r="F63" i="28" s="1"/>
  <c r="E62" i="30"/>
  <c r="F62" i="30" s="1"/>
  <c r="B62" i="30"/>
  <c r="G63" i="55"/>
  <c r="I63" i="55" s="1"/>
  <c r="I65" i="45"/>
  <c r="I66" i="27"/>
  <c r="I70" i="10"/>
  <c r="G54" i="54"/>
  <c r="I54" i="54" s="1"/>
  <c r="I69" i="11"/>
  <c r="I68" i="46"/>
  <c r="I62" i="13" l="1"/>
  <c r="H66" i="45"/>
  <c r="I72" i="44"/>
  <c r="I73" i="44" s="1"/>
  <c r="G63" i="31"/>
  <c r="H63" i="31"/>
  <c r="I63" i="31" s="1"/>
  <c r="I56" i="48"/>
  <c r="D64" i="13"/>
  <c r="E64" i="13" s="1"/>
  <c r="F64" i="13" s="1"/>
  <c r="D65" i="13" s="1"/>
  <c r="B63" i="13"/>
  <c r="G63" i="13"/>
  <c r="H63" i="13"/>
  <c r="F53" i="59"/>
  <c r="G53" i="59" s="1"/>
  <c r="I71" i="7"/>
  <c r="I56" i="47"/>
  <c r="E64" i="31"/>
  <c r="F64" i="31" s="1"/>
  <c r="H64" i="31" s="1"/>
  <c r="H70" i="11"/>
  <c r="D71" i="11"/>
  <c r="B71" i="11" s="1"/>
  <c r="G70" i="11"/>
  <c r="G62" i="30"/>
  <c r="D63" i="30"/>
  <c r="H62" i="30"/>
  <c r="G69" i="46"/>
  <c r="D70" i="46"/>
  <c r="H69" i="46"/>
  <c r="H61" i="42"/>
  <c r="D62" i="42"/>
  <c r="G61" i="42"/>
  <c r="G63" i="29"/>
  <c r="D64" i="29"/>
  <c r="H63" i="29"/>
  <c r="D67" i="23"/>
  <c r="B67" i="23" s="1"/>
  <c r="G66" i="23"/>
  <c r="H66" i="23"/>
  <c r="H60" i="41"/>
  <c r="D61" i="41"/>
  <c r="G60" i="41"/>
  <c r="B57" i="49"/>
  <c r="I71" i="9"/>
  <c r="I59" i="43"/>
  <c r="E65" i="55"/>
  <c r="F65" i="55" s="1"/>
  <c r="H65" i="55" s="1"/>
  <c r="B65" i="55"/>
  <c r="G67" i="25"/>
  <c r="H67" i="25"/>
  <c r="D68" i="25"/>
  <c r="E67" i="45"/>
  <c r="F67" i="45" s="1"/>
  <c r="D68" i="45" s="1"/>
  <c r="B67" i="45"/>
  <c r="H67" i="22"/>
  <c r="D68" i="22"/>
  <c r="G67" i="22"/>
  <c r="E70" i="6"/>
  <c r="F70" i="6" s="1"/>
  <c r="E60" i="43"/>
  <c r="F60" i="43" s="1"/>
  <c r="G60" i="43" s="1"/>
  <c r="B60" i="43"/>
  <c r="G61" i="38"/>
  <c r="D62" i="38"/>
  <c r="E61" i="39"/>
  <c r="F61" i="39" s="1"/>
  <c r="B61" i="39"/>
  <c r="E61" i="37"/>
  <c r="F61" i="37" s="1"/>
  <c r="B61" i="37"/>
  <c r="E57" i="47"/>
  <c r="F57" i="47" s="1"/>
  <c r="B57" i="47"/>
  <c r="D69" i="4"/>
  <c r="B69" i="4" s="1"/>
  <c r="H68" i="4"/>
  <c r="G68" i="4"/>
  <c r="D54" i="59"/>
  <c r="E54" i="59"/>
  <c r="E57" i="48"/>
  <c r="F57" i="48" s="1"/>
  <c r="B57" i="48"/>
  <c r="G64" i="24"/>
  <c r="H64" i="24"/>
  <c r="D65" i="24"/>
  <c r="E56" i="57"/>
  <c r="F56" i="57" s="1"/>
  <c r="G56" i="57" s="1"/>
  <c r="B56" i="57"/>
  <c r="B53" i="59"/>
  <c r="H53" i="59"/>
  <c r="I69" i="6"/>
  <c r="F55" i="54"/>
  <c r="H55" i="54" s="1"/>
  <c r="B55" i="54"/>
  <c r="D72" i="10"/>
  <c r="G71" i="10"/>
  <c r="H71" i="10"/>
  <c r="G59" i="40"/>
  <c r="I59" i="40" s="1"/>
  <c r="D60" i="40"/>
  <c r="I56" i="49"/>
  <c r="E70" i="8"/>
  <c r="F70" i="8" s="1"/>
  <c r="B70" i="8"/>
  <c r="G64" i="55"/>
  <c r="B72" i="7"/>
  <c r="F72" i="7"/>
  <c r="H67" i="27"/>
  <c r="G67" i="27"/>
  <c r="D68" i="27"/>
  <c r="B68" i="27" s="1"/>
  <c r="D64" i="28"/>
  <c r="G63" i="28"/>
  <c r="H63" i="28"/>
  <c r="G68" i="3"/>
  <c r="H68" i="3"/>
  <c r="D69" i="3"/>
  <c r="B69" i="3" s="1"/>
  <c r="G54" i="58"/>
  <c r="I54" i="58" s="1"/>
  <c r="D55" i="58"/>
  <c r="E55" i="58" s="1"/>
  <c r="I60" i="39"/>
  <c r="E57" i="49"/>
  <c r="F57" i="49" s="1"/>
  <c r="D58" i="49" s="1"/>
  <c r="E69" i="5"/>
  <c r="F69" i="5" s="1"/>
  <c r="H61" i="38"/>
  <c r="G66" i="45"/>
  <c r="I66" i="45" s="1"/>
  <c r="I69" i="8"/>
  <c r="B72" i="9"/>
  <c r="F72" i="9"/>
  <c r="H64" i="55"/>
  <c r="E68" i="27" l="1"/>
  <c r="F68" i="27" s="1"/>
  <c r="D65" i="31"/>
  <c r="B65" i="31" s="1"/>
  <c r="G64" i="31"/>
  <c r="I64" i="31" s="1"/>
  <c r="I69" i="46"/>
  <c r="E69" i="3"/>
  <c r="F69" i="3" s="1"/>
  <c r="D70" i="3" s="1"/>
  <c r="I67" i="22"/>
  <c r="I68" i="3"/>
  <c r="I64" i="55"/>
  <c r="I63" i="13"/>
  <c r="E65" i="13"/>
  <c r="F65" i="13" s="1"/>
  <c r="D66" i="13" s="1"/>
  <c r="B65" i="13"/>
  <c r="I61" i="38"/>
  <c r="I63" i="29"/>
  <c r="B64" i="13"/>
  <c r="G64" i="13"/>
  <c r="H64" i="13"/>
  <c r="D62" i="39"/>
  <c r="E62" i="39" s="1"/>
  <c r="G61" i="39"/>
  <c r="H56" i="57"/>
  <c r="I56" i="57" s="1"/>
  <c r="H67" i="45"/>
  <c r="I63" i="28"/>
  <c r="I67" i="25"/>
  <c r="I53" i="59"/>
  <c r="I68" i="4"/>
  <c r="I64" i="24"/>
  <c r="I60" i="41"/>
  <c r="D58" i="47"/>
  <c r="H57" i="47"/>
  <c r="G57" i="47"/>
  <c r="G57" i="48"/>
  <c r="D58" i="48"/>
  <c r="H57" i="48"/>
  <c r="G61" i="37"/>
  <c r="D62" i="37"/>
  <c r="H61" i="37"/>
  <c r="H69" i="3"/>
  <c r="G69" i="3"/>
  <c r="E63" i="30"/>
  <c r="F63" i="30" s="1"/>
  <c r="B63" i="30"/>
  <c r="E60" i="40"/>
  <c r="F60" i="40" s="1"/>
  <c r="G60" i="40" s="1"/>
  <c r="B60" i="40"/>
  <c r="B54" i="59"/>
  <c r="F54" i="59"/>
  <c r="E68" i="45"/>
  <c r="F68" i="45" s="1"/>
  <c r="B68" i="45"/>
  <c r="D66" i="55"/>
  <c r="E66" i="55" s="1"/>
  <c r="F66" i="55" s="1"/>
  <c r="F55" i="58"/>
  <c r="G55" i="58" s="1"/>
  <c r="B55" i="58"/>
  <c r="G55" i="54"/>
  <c r="I55" i="54" s="1"/>
  <c r="D56" i="54"/>
  <c r="E69" i="4"/>
  <c r="F69" i="4" s="1"/>
  <c r="H60" i="43"/>
  <c r="I60" i="43" s="1"/>
  <c r="D61" i="43"/>
  <c r="H70" i="6"/>
  <c r="D71" i="6"/>
  <c r="B71" i="6" s="1"/>
  <c r="G70" i="6"/>
  <c r="G57" i="49"/>
  <c r="E71" i="11"/>
  <c r="F71" i="11" s="1"/>
  <c r="E62" i="42"/>
  <c r="F62" i="42" s="1"/>
  <c r="G62" i="42" s="1"/>
  <c r="B62" i="42"/>
  <c r="H72" i="9"/>
  <c r="G72" i="9"/>
  <c r="G73" i="9" s="1"/>
  <c r="I67" i="27"/>
  <c r="I71" i="10"/>
  <c r="D57" i="57"/>
  <c r="E57" i="57" s="1"/>
  <c r="F57" i="57" s="1"/>
  <c r="E68" i="25"/>
  <c r="F68" i="25" s="1"/>
  <c r="B68" i="25"/>
  <c r="H57" i="49"/>
  <c r="E67" i="23"/>
  <c r="F67" i="23" s="1"/>
  <c r="E68" i="22"/>
  <c r="F68" i="22" s="1"/>
  <c r="B68" i="22"/>
  <c r="I66" i="23"/>
  <c r="G72" i="7"/>
  <c r="G73" i="7" s="1"/>
  <c r="H72" i="7"/>
  <c r="H69" i="5"/>
  <c r="D70" i="5"/>
  <c r="G69" i="5"/>
  <c r="E72" i="10"/>
  <c r="E73" i="10" s="1"/>
  <c r="B72" i="10"/>
  <c r="E64" i="29"/>
  <c r="F64" i="29" s="1"/>
  <c r="B64" i="29"/>
  <c r="E70" i="46"/>
  <c r="F70" i="46" s="1"/>
  <c r="B70" i="46"/>
  <c r="I70" i="11"/>
  <c r="H68" i="27"/>
  <c r="G68" i="27"/>
  <c r="D69" i="27"/>
  <c r="D71" i="8"/>
  <c r="B71" i="8" s="1"/>
  <c r="H70" i="8"/>
  <c r="G70" i="8"/>
  <c r="E58" i="49"/>
  <c r="F58" i="49" s="1"/>
  <c r="H58" i="49" s="1"/>
  <c r="B58" i="49"/>
  <c r="E62" i="38"/>
  <c r="F62" i="38" s="1"/>
  <c r="B62" i="38"/>
  <c r="E61" i="41"/>
  <c r="F61" i="41" s="1"/>
  <c r="B61" i="41"/>
  <c r="E65" i="24"/>
  <c r="F65" i="24" s="1"/>
  <c r="B65" i="24"/>
  <c r="E64" i="28"/>
  <c r="F64" i="28" s="1"/>
  <c r="B64" i="28"/>
  <c r="H61" i="39"/>
  <c r="G67" i="45"/>
  <c r="I67" i="45" s="1"/>
  <c r="G65" i="55"/>
  <c r="I65" i="55" s="1"/>
  <c r="I61" i="42"/>
  <c r="I62" i="30"/>
  <c r="E65" i="31" l="1"/>
  <c r="F65" i="31" s="1"/>
  <c r="G65" i="31" s="1"/>
  <c r="H65" i="31"/>
  <c r="I64" i="13"/>
  <c r="G65" i="13"/>
  <c r="I65" i="31"/>
  <c r="I61" i="39"/>
  <c r="H65" i="13"/>
  <c r="F62" i="39"/>
  <c r="H62" i="39" s="1"/>
  <c r="E66" i="13"/>
  <c r="F66" i="13" s="1"/>
  <c r="D67" i="13" s="1"/>
  <c r="B66" i="13"/>
  <c r="B62" i="39"/>
  <c r="H55" i="58"/>
  <c r="I57" i="49"/>
  <c r="I61" i="37"/>
  <c r="I68" i="27"/>
  <c r="I70" i="8"/>
  <c r="H57" i="57"/>
  <c r="D58" i="57"/>
  <c r="H68" i="45"/>
  <c r="D69" i="45"/>
  <c r="E69" i="45" s="1"/>
  <c r="F69" i="45" s="1"/>
  <c r="D70" i="45" s="1"/>
  <c r="G68" i="45"/>
  <c r="D65" i="29"/>
  <c r="G64" i="29"/>
  <c r="H64" i="29"/>
  <c r="D69" i="22"/>
  <c r="B69" i="22" s="1"/>
  <c r="G68" i="22"/>
  <c r="H68" i="22"/>
  <c r="H61" i="41"/>
  <c r="D62" i="41"/>
  <c r="I72" i="7"/>
  <c r="I73" i="7" s="1"/>
  <c r="H73" i="7"/>
  <c r="E62" i="37"/>
  <c r="F62" i="37" s="1"/>
  <c r="B62" i="37"/>
  <c r="H65" i="24"/>
  <c r="D66" i="24"/>
  <c r="G65" i="24"/>
  <c r="G58" i="49"/>
  <c r="I58" i="49" s="1"/>
  <c r="D59" i="49"/>
  <c r="H62" i="42"/>
  <c r="I62" i="42" s="1"/>
  <c r="D63" i="42"/>
  <c r="E63" i="42" s="1"/>
  <c r="F63" i="42" s="1"/>
  <c r="D64" i="42" s="1"/>
  <c r="D70" i="4"/>
  <c r="H69" i="4"/>
  <c r="G69" i="4"/>
  <c r="I72" i="9"/>
  <c r="I73" i="9" s="1"/>
  <c r="H73" i="9"/>
  <c r="D55" i="59"/>
  <c r="E55" i="59" s="1"/>
  <c r="H64" i="28"/>
  <c r="D65" i="28"/>
  <c r="B65" i="28" s="1"/>
  <c r="G64" i="28"/>
  <c r="E69" i="27"/>
  <c r="F69" i="27" s="1"/>
  <c r="B69" i="27"/>
  <c r="F72" i="10"/>
  <c r="E71" i="6"/>
  <c r="F71" i="6" s="1"/>
  <c r="E56" i="54"/>
  <c r="F56" i="54" s="1"/>
  <c r="H56" i="54" s="1"/>
  <c r="B56" i="54"/>
  <c r="I55" i="58"/>
  <c r="H66" i="55"/>
  <c r="D67" i="55"/>
  <c r="E67" i="55" s="1"/>
  <c r="F67" i="55" s="1"/>
  <c r="G63" i="30"/>
  <c r="D64" i="30"/>
  <c r="B64" i="30" s="1"/>
  <c r="H63" i="30"/>
  <c r="I57" i="47"/>
  <c r="H70" i="46"/>
  <c r="D71" i="46"/>
  <c r="E71" i="46" s="1"/>
  <c r="F71" i="46" s="1"/>
  <c r="E58" i="48"/>
  <c r="F58" i="48" s="1"/>
  <c r="B58" i="48"/>
  <c r="G62" i="38"/>
  <c r="D63" i="38"/>
  <c r="B57" i="57"/>
  <c r="G57" i="57"/>
  <c r="B66" i="55"/>
  <c r="G66" i="55"/>
  <c r="H60" i="40"/>
  <c r="I60" i="40" s="1"/>
  <c r="D61" i="40"/>
  <c r="E58" i="47"/>
  <c r="F58" i="47" s="1"/>
  <c r="G58" i="47" s="1"/>
  <c r="B58" i="47"/>
  <c r="H68" i="25"/>
  <c r="D69" i="25"/>
  <c r="G68" i="25"/>
  <c r="E70" i="3"/>
  <c r="F70" i="3" s="1"/>
  <c r="B70" i="3"/>
  <c r="E71" i="8"/>
  <c r="F71" i="8" s="1"/>
  <c r="I70" i="6"/>
  <c r="D56" i="58"/>
  <c r="E56" i="58" s="1"/>
  <c r="F56" i="58" s="1"/>
  <c r="H54" i="59"/>
  <c r="G61" i="41"/>
  <c r="I61" i="41" s="1"/>
  <c r="H62" i="38"/>
  <c r="G70" i="46"/>
  <c r="E70" i="5"/>
  <c r="F70" i="5" s="1"/>
  <c r="B70" i="5"/>
  <c r="G67" i="23"/>
  <c r="H67" i="23"/>
  <c r="D68" i="23"/>
  <c r="B68" i="23" s="1"/>
  <c r="D72" i="11"/>
  <c r="H71" i="11"/>
  <c r="G71" i="11"/>
  <c r="E61" i="43"/>
  <c r="F61" i="43" s="1"/>
  <c r="B61" i="43"/>
  <c r="G54" i="59"/>
  <c r="I69" i="3"/>
  <c r="I57" i="48"/>
  <c r="I65" i="13" l="1"/>
  <c r="D63" i="39"/>
  <c r="D66" i="31"/>
  <c r="G62" i="39"/>
  <c r="E64" i="30"/>
  <c r="F64" i="30" s="1"/>
  <c r="H66" i="13"/>
  <c r="I67" i="23"/>
  <c r="I62" i="39"/>
  <c r="I57" i="57"/>
  <c r="G66" i="13"/>
  <c r="E68" i="23"/>
  <c r="F68" i="23" s="1"/>
  <c r="H68" i="23" s="1"/>
  <c r="G56" i="54"/>
  <c r="E67" i="13"/>
  <c r="F67" i="13" s="1"/>
  <c r="D68" i="13" s="1"/>
  <c r="B67" i="13"/>
  <c r="E69" i="22"/>
  <c r="F69" i="22" s="1"/>
  <c r="G69" i="22" s="1"/>
  <c r="I71" i="11"/>
  <c r="I70" i="46"/>
  <c r="I62" i="38"/>
  <c r="E65" i="28"/>
  <c r="F65" i="28" s="1"/>
  <c r="H65" i="28" s="1"/>
  <c r="I56" i="54"/>
  <c r="I64" i="28"/>
  <c r="I68" i="25"/>
  <c r="I64" i="29"/>
  <c r="G69" i="27"/>
  <c r="D70" i="27"/>
  <c r="H69" i="27"/>
  <c r="G62" i="37"/>
  <c r="D63" i="37"/>
  <c r="E63" i="37" s="1"/>
  <c r="F63" i="37" s="1"/>
  <c r="H62" i="37"/>
  <c r="G61" i="43"/>
  <c r="D62" i="43"/>
  <c r="H61" i="43"/>
  <c r="G58" i="48"/>
  <c r="D59" i="48"/>
  <c r="H58" i="48"/>
  <c r="G67" i="55"/>
  <c r="D68" i="55"/>
  <c r="E68" i="55" s="1"/>
  <c r="F68" i="55" s="1"/>
  <c r="G70" i="5"/>
  <c r="D71" i="5"/>
  <c r="H70" i="5"/>
  <c r="E64" i="42"/>
  <c r="F64" i="42" s="1"/>
  <c r="G64" i="42" s="1"/>
  <c r="B64" i="42"/>
  <c r="G70" i="3"/>
  <c r="D71" i="3"/>
  <c r="B71" i="3" s="1"/>
  <c r="H70" i="3"/>
  <c r="G68" i="23"/>
  <c r="H64" i="30"/>
  <c r="D65" i="30"/>
  <c r="G64" i="30"/>
  <c r="G65" i="28"/>
  <c r="I69" i="4"/>
  <c r="E66" i="24"/>
  <c r="F66" i="24" s="1"/>
  <c r="B66" i="24"/>
  <c r="E62" i="41"/>
  <c r="F62" i="41" s="1"/>
  <c r="B62" i="41"/>
  <c r="I54" i="59"/>
  <c r="I63" i="30"/>
  <c r="E70" i="4"/>
  <c r="F70" i="4" s="1"/>
  <c r="B70" i="4"/>
  <c r="I65" i="24"/>
  <c r="E65" i="29"/>
  <c r="F65" i="29" s="1"/>
  <c r="B65" i="29"/>
  <c r="H58" i="47"/>
  <c r="I58" i="47" s="1"/>
  <c r="D59" i="47"/>
  <c r="B55" i="59"/>
  <c r="D57" i="58"/>
  <c r="E57" i="58" s="1"/>
  <c r="F57" i="58" s="1"/>
  <c r="B56" i="58"/>
  <c r="G56" i="58"/>
  <c r="H56" i="58"/>
  <c r="D72" i="46"/>
  <c r="E72" i="46" s="1"/>
  <c r="E73" i="46" s="1"/>
  <c r="H72" i="10"/>
  <c r="G72" i="10"/>
  <c r="G73" i="10" s="1"/>
  <c r="B63" i="42"/>
  <c r="G63" i="42"/>
  <c r="H63" i="42"/>
  <c r="E61" i="40"/>
  <c r="F61" i="40" s="1"/>
  <c r="H61" i="40" s="1"/>
  <c r="B61" i="40"/>
  <c r="B71" i="46"/>
  <c r="G71" i="46"/>
  <c r="H71" i="46"/>
  <c r="D57" i="54"/>
  <c r="E57" i="54" s="1"/>
  <c r="F57" i="54" s="1"/>
  <c r="E63" i="39"/>
  <c r="F63" i="39" s="1"/>
  <c r="B63" i="39"/>
  <c r="I68" i="22"/>
  <c r="I68" i="45"/>
  <c r="E58" i="57"/>
  <c r="F58" i="57" s="1"/>
  <c r="D59" i="57" s="1"/>
  <c r="B58" i="57"/>
  <c r="E72" i="11"/>
  <c r="E73" i="11" s="1"/>
  <c r="B72" i="11"/>
  <c r="E63" i="38"/>
  <c r="F63" i="38" s="1"/>
  <c r="B63" i="38"/>
  <c r="D72" i="8"/>
  <c r="H71" i="8"/>
  <c r="G71" i="8"/>
  <c r="H71" i="6"/>
  <c r="G71" i="6"/>
  <c r="D72" i="6"/>
  <c r="E59" i="49"/>
  <c r="F59" i="49" s="1"/>
  <c r="B59" i="49"/>
  <c r="E70" i="45"/>
  <c r="F70" i="45" s="1"/>
  <c r="B70" i="45"/>
  <c r="E69" i="25"/>
  <c r="F69" i="25" s="1"/>
  <c r="B69" i="25"/>
  <c r="I66" i="55"/>
  <c r="B67" i="55"/>
  <c r="H67" i="55"/>
  <c r="F55" i="59"/>
  <c r="G55" i="59" s="1"/>
  <c r="B69" i="45"/>
  <c r="H69" i="45"/>
  <c r="G69" i="45"/>
  <c r="H69" i="22" l="1"/>
  <c r="D70" i="22"/>
  <c r="I66" i="13"/>
  <c r="H67" i="13"/>
  <c r="E66" i="31"/>
  <c r="F66" i="31" s="1"/>
  <c r="B66" i="31"/>
  <c r="D69" i="23"/>
  <c r="B69" i="23" s="1"/>
  <c r="D66" i="28"/>
  <c r="B66" i="28" s="1"/>
  <c r="G67" i="13"/>
  <c r="I58" i="48"/>
  <c r="I56" i="58"/>
  <c r="I70" i="3"/>
  <c r="E68" i="13"/>
  <c r="F68" i="13" s="1"/>
  <c r="D69" i="13" s="1"/>
  <c r="B68" i="13"/>
  <c r="D60" i="49"/>
  <c r="E60" i="49" s="1"/>
  <c r="F60" i="49" s="1"/>
  <c r="G59" i="49"/>
  <c r="H59" i="49"/>
  <c r="H58" i="57"/>
  <c r="E71" i="3"/>
  <c r="F71" i="3" s="1"/>
  <c r="G71" i="3" s="1"/>
  <c r="I63" i="42"/>
  <c r="I61" i="43"/>
  <c r="I67" i="55"/>
  <c r="I71" i="6"/>
  <c r="I68" i="23"/>
  <c r="I71" i="8"/>
  <c r="I65" i="28"/>
  <c r="G57" i="58"/>
  <c r="D58" i="58"/>
  <c r="D69" i="55"/>
  <c r="E69" i="55" s="1"/>
  <c r="F69" i="55" s="1"/>
  <c r="D70" i="55" s="1"/>
  <c r="H70" i="45"/>
  <c r="D71" i="45"/>
  <c r="G70" i="45"/>
  <c r="D71" i="4"/>
  <c r="H70" i="4"/>
  <c r="G70" i="4"/>
  <c r="H63" i="39"/>
  <c r="D64" i="39"/>
  <c r="E64" i="39" s="1"/>
  <c r="F64" i="39" s="1"/>
  <c r="D65" i="39" s="1"/>
  <c r="G63" i="39"/>
  <c r="H62" i="41"/>
  <c r="D63" i="41"/>
  <c r="G62" i="41"/>
  <c r="D70" i="25"/>
  <c r="G69" i="25"/>
  <c r="H69" i="25"/>
  <c r="E71" i="5"/>
  <c r="F71" i="5" s="1"/>
  <c r="B71" i="5"/>
  <c r="D64" i="37"/>
  <c r="E64" i="37" s="1"/>
  <c r="F64" i="37" s="1"/>
  <c r="E72" i="8"/>
  <c r="E73" i="8" s="1"/>
  <c r="B72" i="8"/>
  <c r="E59" i="57"/>
  <c r="F59" i="57" s="1"/>
  <c r="H59" i="57" s="1"/>
  <c r="B59" i="57"/>
  <c r="B57" i="54"/>
  <c r="H57" i="54"/>
  <c r="I69" i="22"/>
  <c r="B72" i="46"/>
  <c r="F72" i="46"/>
  <c r="G72" i="46" s="1"/>
  <c r="G73" i="46" s="1"/>
  <c r="E62" i="43"/>
  <c r="F62" i="43" s="1"/>
  <c r="B62" i="43"/>
  <c r="B63" i="37"/>
  <c r="G63" i="37"/>
  <c r="H63" i="37"/>
  <c r="E70" i="22"/>
  <c r="F70" i="22" s="1"/>
  <c r="B70" i="22"/>
  <c r="B57" i="58"/>
  <c r="H57" i="58"/>
  <c r="D72" i="3"/>
  <c r="G63" i="38"/>
  <c r="D64" i="38"/>
  <c r="I71" i="46"/>
  <c r="B68" i="55"/>
  <c r="G68" i="55"/>
  <c r="H68" i="55"/>
  <c r="I69" i="27"/>
  <c r="F72" i="11"/>
  <c r="E65" i="30"/>
  <c r="F65" i="30" s="1"/>
  <c r="B65" i="30"/>
  <c r="E70" i="27"/>
  <c r="F70" i="27" s="1"/>
  <c r="B70" i="27"/>
  <c r="H55" i="59"/>
  <c r="I55" i="59" s="1"/>
  <c r="D56" i="59"/>
  <c r="E56" i="59" s="1"/>
  <c r="F56" i="59" s="1"/>
  <c r="G66" i="24"/>
  <c r="H66" i="24"/>
  <c r="D67" i="24"/>
  <c r="B67" i="24" s="1"/>
  <c r="I64" i="30"/>
  <c r="H64" i="42"/>
  <c r="I64" i="42" s="1"/>
  <c r="D65" i="42"/>
  <c r="E66" i="28"/>
  <c r="F66" i="28" s="1"/>
  <c r="I69" i="45"/>
  <c r="G58" i="57"/>
  <c r="E59" i="47"/>
  <c r="F59" i="47" s="1"/>
  <c r="G59" i="47" s="1"/>
  <c r="B59" i="47"/>
  <c r="E59" i="48"/>
  <c r="F59" i="48" s="1"/>
  <c r="B59" i="48"/>
  <c r="E72" i="6"/>
  <c r="E73" i="6" s="1"/>
  <c r="B72" i="6"/>
  <c r="G57" i="54"/>
  <c r="D58" i="54"/>
  <c r="E58" i="54" s="1"/>
  <c r="F58" i="54" s="1"/>
  <c r="D59" i="54" s="1"/>
  <c r="G65" i="29"/>
  <c r="H65" i="29"/>
  <c r="D66" i="29"/>
  <c r="H63" i="38"/>
  <c r="G61" i="40"/>
  <c r="I61" i="40" s="1"/>
  <c r="D62" i="40"/>
  <c r="I72" i="10"/>
  <c r="I73" i="10" s="1"/>
  <c r="H73" i="10"/>
  <c r="I62" i="37"/>
  <c r="B60" i="49" l="1"/>
  <c r="E69" i="23"/>
  <c r="F69" i="23" s="1"/>
  <c r="I67" i="13"/>
  <c r="I59" i="49"/>
  <c r="I58" i="57"/>
  <c r="D67" i="31"/>
  <c r="H66" i="31"/>
  <c r="G66" i="31"/>
  <c r="F72" i="8"/>
  <c r="H68" i="13"/>
  <c r="H72" i="46"/>
  <c r="G68" i="13"/>
  <c r="E67" i="24"/>
  <c r="F67" i="24" s="1"/>
  <c r="D68" i="24" s="1"/>
  <c r="H71" i="3"/>
  <c r="I71" i="3" s="1"/>
  <c r="G59" i="57"/>
  <c r="I59" i="57" s="1"/>
  <c r="E69" i="13"/>
  <c r="F69" i="13" s="1"/>
  <c r="B69" i="13"/>
  <c r="F72" i="6"/>
  <c r="H72" i="6" s="1"/>
  <c r="I68" i="55"/>
  <c r="I63" i="38"/>
  <c r="I66" i="24"/>
  <c r="I69" i="25"/>
  <c r="I57" i="58"/>
  <c r="I62" i="41"/>
  <c r="G62" i="43"/>
  <c r="D63" i="43"/>
  <c r="H62" i="43"/>
  <c r="D71" i="27"/>
  <c r="B71" i="27" s="1"/>
  <c r="H70" i="27"/>
  <c r="G70" i="27"/>
  <c r="H66" i="28"/>
  <c r="D67" i="28"/>
  <c r="B67" i="28" s="1"/>
  <c r="G66" i="28"/>
  <c r="D57" i="59"/>
  <c r="E57" i="59" s="1"/>
  <c r="F57" i="59" s="1"/>
  <c r="G59" i="48"/>
  <c r="D60" i="48"/>
  <c r="H59" i="48"/>
  <c r="E64" i="38"/>
  <c r="F64" i="38" s="1"/>
  <c r="G64" i="38" s="1"/>
  <c r="B64" i="38"/>
  <c r="H72" i="8"/>
  <c r="G72" i="8"/>
  <c r="G73" i="8" s="1"/>
  <c r="B64" i="39"/>
  <c r="G64" i="39"/>
  <c r="H64" i="39"/>
  <c r="I70" i="45"/>
  <c r="D61" i="49"/>
  <c r="E61" i="49" s="1"/>
  <c r="F61" i="49" s="1"/>
  <c r="B58" i="54"/>
  <c r="G58" i="54"/>
  <c r="H58" i="54"/>
  <c r="I63" i="37"/>
  <c r="I57" i="54"/>
  <c r="E71" i="45"/>
  <c r="F71" i="45" s="1"/>
  <c r="D72" i="45" s="1"/>
  <c r="B71" i="45"/>
  <c r="H59" i="47"/>
  <c r="I59" i="47" s="1"/>
  <c r="D60" i="47"/>
  <c r="H67" i="24"/>
  <c r="H65" i="30"/>
  <c r="G65" i="30"/>
  <c r="D66" i="30"/>
  <c r="B66" i="30" s="1"/>
  <c r="H72" i="11"/>
  <c r="G72" i="11"/>
  <c r="G73" i="11" s="1"/>
  <c r="D71" i="22"/>
  <c r="B71" i="22" s="1"/>
  <c r="G70" i="22"/>
  <c r="H70" i="22"/>
  <c r="H64" i="37"/>
  <c r="D65" i="37"/>
  <c r="E70" i="25"/>
  <c r="F70" i="25" s="1"/>
  <c r="B70" i="25"/>
  <c r="E59" i="54"/>
  <c r="F59" i="54" s="1"/>
  <c r="D60" i="54" s="1"/>
  <c r="B59" i="54"/>
  <c r="B64" i="37"/>
  <c r="G64" i="37"/>
  <c r="I70" i="4"/>
  <c r="E70" i="55"/>
  <c r="F70" i="55" s="1"/>
  <c r="G70" i="55" s="1"/>
  <c r="B70" i="55"/>
  <c r="G72" i="6"/>
  <c r="G73" i="6" s="1"/>
  <c r="B56" i="59"/>
  <c r="G56" i="59"/>
  <c r="H56" i="59"/>
  <c r="H69" i="23"/>
  <c r="D70" i="23"/>
  <c r="G69" i="23"/>
  <c r="D72" i="5"/>
  <c r="H71" i="5"/>
  <c r="G71" i="5"/>
  <c r="E63" i="41"/>
  <c r="F63" i="41" s="1"/>
  <c r="B63" i="41"/>
  <c r="E71" i="4"/>
  <c r="F71" i="4" s="1"/>
  <c r="B71" i="4"/>
  <c r="B69" i="55"/>
  <c r="G69" i="55"/>
  <c r="H69" i="55"/>
  <c r="E65" i="39"/>
  <c r="F65" i="39" s="1"/>
  <c r="B65" i="39"/>
  <c r="E66" i="29"/>
  <c r="F66" i="29" s="1"/>
  <c r="B66" i="29"/>
  <c r="H60" i="49"/>
  <c r="E72" i="3"/>
  <c r="E73" i="3" s="1"/>
  <c r="B72" i="3"/>
  <c r="H73" i="46"/>
  <c r="I72" i="46"/>
  <c r="I73" i="46" s="1"/>
  <c r="E58" i="58"/>
  <c r="F58" i="58" s="1"/>
  <c r="D59" i="58" s="1"/>
  <c r="B58" i="58"/>
  <c r="E65" i="42"/>
  <c r="F65" i="42" s="1"/>
  <c r="G65" i="42" s="1"/>
  <c r="B65" i="42"/>
  <c r="E62" i="40"/>
  <c r="F62" i="40" s="1"/>
  <c r="G62" i="40" s="1"/>
  <c r="B62" i="40"/>
  <c r="I65" i="29"/>
  <c r="G60" i="49"/>
  <c r="D60" i="57"/>
  <c r="E60" i="57" s="1"/>
  <c r="F60" i="57" s="1"/>
  <c r="D61" i="57" s="1"/>
  <c r="I63" i="39"/>
  <c r="I68" i="13" l="1"/>
  <c r="I66" i="31"/>
  <c r="B67" i="31"/>
  <c r="E67" i="31"/>
  <c r="F67" i="31" s="1"/>
  <c r="G67" i="24"/>
  <c r="I67" i="24" s="1"/>
  <c r="F72" i="3"/>
  <c r="H72" i="3" s="1"/>
  <c r="E71" i="27"/>
  <c r="F71" i="27" s="1"/>
  <c r="G71" i="27" s="1"/>
  <c r="E71" i="22"/>
  <c r="F71" i="22" s="1"/>
  <c r="H71" i="22" s="1"/>
  <c r="D70" i="13"/>
  <c r="E70" i="13" s="1"/>
  <c r="F70" i="13" s="1"/>
  <c r="D71" i="13" s="1"/>
  <c r="H69" i="13"/>
  <c r="G69" i="13"/>
  <c r="G59" i="54"/>
  <c r="I56" i="59"/>
  <c r="I64" i="39"/>
  <c r="E67" i="28"/>
  <c r="F67" i="28" s="1"/>
  <c r="D68" i="28" s="1"/>
  <c r="B68" i="28" s="1"/>
  <c r="I62" i="43"/>
  <c r="E66" i="30"/>
  <c r="F66" i="30" s="1"/>
  <c r="D67" i="30" s="1"/>
  <c r="I66" i="28"/>
  <c r="I69" i="23"/>
  <c r="H66" i="29"/>
  <c r="D67" i="29"/>
  <c r="B67" i="29" s="1"/>
  <c r="G66" i="29"/>
  <c r="H63" i="41"/>
  <c r="D64" i="41"/>
  <c r="G63" i="41"/>
  <c r="H71" i="4"/>
  <c r="D72" i="4"/>
  <c r="G71" i="4"/>
  <c r="G65" i="39"/>
  <c r="D66" i="39"/>
  <c r="H65" i="39"/>
  <c r="B61" i="49"/>
  <c r="G61" i="49"/>
  <c r="H65" i="42"/>
  <c r="I65" i="42" s="1"/>
  <c r="D66" i="42"/>
  <c r="I60" i="49"/>
  <c r="D71" i="55"/>
  <c r="E71" i="55" s="1"/>
  <c r="F71" i="55" s="1"/>
  <c r="H64" i="38"/>
  <c r="I64" i="38" s="1"/>
  <c r="D65" i="38"/>
  <c r="E70" i="23"/>
  <c r="F70" i="23" s="1"/>
  <c r="B70" i="23"/>
  <c r="E65" i="37"/>
  <c r="F65" i="37" s="1"/>
  <c r="H65" i="37" s="1"/>
  <c r="B65" i="37"/>
  <c r="E72" i="45"/>
  <c r="E73" i="45" s="1"/>
  <c r="B72" i="45"/>
  <c r="E59" i="58"/>
  <c r="F59" i="58" s="1"/>
  <c r="G59" i="58" s="1"/>
  <c r="B59" i="58"/>
  <c r="E72" i="5"/>
  <c r="E73" i="5" s="1"/>
  <c r="B72" i="5"/>
  <c r="H59" i="54"/>
  <c r="I59" i="54" s="1"/>
  <c r="I70" i="22"/>
  <c r="I65" i="30"/>
  <c r="D58" i="59"/>
  <c r="E58" i="59" s="1"/>
  <c r="F58" i="59" s="1"/>
  <c r="I70" i="27"/>
  <c r="H66" i="30"/>
  <c r="I64" i="37"/>
  <c r="E60" i="54"/>
  <c r="F60" i="54" s="1"/>
  <c r="D61" i="54" s="1"/>
  <c r="B60" i="54"/>
  <c r="B57" i="59"/>
  <c r="H57" i="59"/>
  <c r="G57" i="59"/>
  <c r="I72" i="6"/>
  <c r="I73" i="6" s="1"/>
  <c r="H73" i="6"/>
  <c r="G71" i="45"/>
  <c r="I58" i="54"/>
  <c r="H61" i="49"/>
  <c r="D62" i="49"/>
  <c r="E62" i="49" s="1"/>
  <c r="F62" i="49" s="1"/>
  <c r="D63" i="49" s="1"/>
  <c r="G70" i="25"/>
  <c r="H70" i="25"/>
  <c r="D71" i="25"/>
  <c r="B71" i="25" s="1"/>
  <c r="E68" i="24"/>
  <c r="F68" i="24" s="1"/>
  <c r="B68" i="24"/>
  <c r="H71" i="45"/>
  <c r="I59" i="48"/>
  <c r="E63" i="43"/>
  <c r="F63" i="43" s="1"/>
  <c r="B63" i="43"/>
  <c r="E61" i="57"/>
  <c r="F61" i="57" s="1"/>
  <c r="B61" i="57"/>
  <c r="B60" i="57"/>
  <c r="G60" i="57"/>
  <c r="H60" i="57"/>
  <c r="H62" i="40"/>
  <c r="I62" i="40" s="1"/>
  <c r="D63" i="40"/>
  <c r="G58" i="58"/>
  <c r="G72" i="3"/>
  <c r="G73" i="3" s="1"/>
  <c r="H58" i="58"/>
  <c r="I69" i="55"/>
  <c r="H70" i="55"/>
  <c r="I70" i="55" s="1"/>
  <c r="I72" i="11"/>
  <c r="I73" i="11" s="1"/>
  <c r="H73" i="11"/>
  <c r="E60" i="47"/>
  <c r="F60" i="47" s="1"/>
  <c r="D61" i="47" s="1"/>
  <c r="B60" i="47"/>
  <c r="I72" i="8"/>
  <c r="I73" i="8" s="1"/>
  <c r="H73" i="8"/>
  <c r="E60" i="48"/>
  <c r="F60" i="48" s="1"/>
  <c r="D61" i="48" s="1"/>
  <c r="B60" i="48"/>
  <c r="G71" i="22" l="1"/>
  <c r="D72" i="22"/>
  <c r="D72" i="27"/>
  <c r="H71" i="27"/>
  <c r="D68" i="31"/>
  <c r="B68" i="31" s="1"/>
  <c r="G67" i="31"/>
  <c r="H67" i="31"/>
  <c r="E68" i="31"/>
  <c r="F68" i="31" s="1"/>
  <c r="G66" i="30"/>
  <c r="G60" i="48"/>
  <c r="E71" i="25"/>
  <c r="F71" i="25" s="1"/>
  <c r="D72" i="25" s="1"/>
  <c r="I58" i="58"/>
  <c r="E67" i="29"/>
  <c r="F67" i="29" s="1"/>
  <c r="D68" i="29" s="1"/>
  <c r="B68" i="29" s="1"/>
  <c r="G67" i="28"/>
  <c r="G60" i="47"/>
  <c r="H67" i="28"/>
  <c r="I69" i="13"/>
  <c r="H60" i="48"/>
  <c r="I60" i="48" s="1"/>
  <c r="E71" i="13"/>
  <c r="F71" i="13" s="1"/>
  <c r="B71" i="13"/>
  <c r="F72" i="45"/>
  <c r="H72" i="45" s="1"/>
  <c r="H73" i="45" s="1"/>
  <c r="H70" i="13"/>
  <c r="G70" i="13"/>
  <c r="B70" i="13"/>
  <c r="I71" i="45"/>
  <c r="E68" i="28"/>
  <c r="F68" i="28" s="1"/>
  <c r="G68" i="28" s="1"/>
  <c r="I65" i="39"/>
  <c r="G70" i="23"/>
  <c r="H70" i="23"/>
  <c r="D71" i="23"/>
  <c r="H63" i="43"/>
  <c r="D64" i="43"/>
  <c r="G63" i="43"/>
  <c r="E63" i="49"/>
  <c r="F63" i="49" s="1"/>
  <c r="G63" i="49" s="1"/>
  <c r="B63" i="49"/>
  <c r="D72" i="55"/>
  <c r="I60" i="57"/>
  <c r="I57" i="59"/>
  <c r="E61" i="54"/>
  <c r="F61" i="54" s="1"/>
  <c r="D62" i="54" s="1"/>
  <c r="B61" i="54"/>
  <c r="I66" i="30"/>
  <c r="F72" i="5"/>
  <c r="B71" i="55"/>
  <c r="H71" i="55"/>
  <c r="G71" i="55"/>
  <c r="I71" i="27"/>
  <c r="E66" i="39"/>
  <c r="F66" i="39" s="1"/>
  <c r="B66" i="39"/>
  <c r="D62" i="57"/>
  <c r="E62" i="57" s="1"/>
  <c r="F62" i="57" s="1"/>
  <c r="E64" i="41"/>
  <c r="F64" i="41" s="1"/>
  <c r="H64" i="41" s="1"/>
  <c r="B64" i="41"/>
  <c r="E65" i="38"/>
  <c r="F65" i="38" s="1"/>
  <c r="H65" i="38" s="1"/>
  <c r="B65" i="38"/>
  <c r="G67" i="29"/>
  <c r="H67" i="29"/>
  <c r="B72" i="27"/>
  <c r="E61" i="47"/>
  <c r="F61" i="47" s="1"/>
  <c r="D62" i="47" s="1"/>
  <c r="B61" i="47"/>
  <c r="D59" i="59"/>
  <c r="E59" i="59" s="1"/>
  <c r="F59" i="59" s="1"/>
  <c r="G65" i="37"/>
  <c r="I65" i="37" s="1"/>
  <c r="D66" i="37"/>
  <c r="E66" i="42"/>
  <c r="F66" i="42" s="1"/>
  <c r="B66" i="42"/>
  <c r="I61" i="49"/>
  <c r="H68" i="24"/>
  <c r="G68" i="24"/>
  <c r="D69" i="24"/>
  <c r="E61" i="48"/>
  <c r="F61" i="48" s="1"/>
  <c r="D62" i="48" s="1"/>
  <c r="B61" i="48"/>
  <c r="I72" i="3"/>
  <c r="I73" i="3" s="1"/>
  <c r="H73" i="3"/>
  <c r="B58" i="59"/>
  <c r="G58" i="59"/>
  <c r="H58" i="59"/>
  <c r="E72" i="4"/>
  <c r="E73" i="4" s="1"/>
  <c r="B72" i="4"/>
  <c r="H59" i="58"/>
  <c r="I59" i="58" s="1"/>
  <c r="D60" i="58"/>
  <c r="E60" i="58" s="1"/>
  <c r="F60" i="58" s="1"/>
  <c r="I71" i="4"/>
  <c r="I66" i="29"/>
  <c r="G60" i="54"/>
  <c r="G72" i="45"/>
  <c r="G73" i="45" s="1"/>
  <c r="E72" i="22"/>
  <c r="E73" i="22" s="1"/>
  <c r="B72" i="22"/>
  <c r="B62" i="49"/>
  <c r="H62" i="49"/>
  <c r="G62" i="49"/>
  <c r="G61" i="57"/>
  <c r="H61" i="57"/>
  <c r="H60" i="47"/>
  <c r="E63" i="40"/>
  <c r="F63" i="40" s="1"/>
  <c r="B63" i="40"/>
  <c r="I70" i="25"/>
  <c r="H60" i="54"/>
  <c r="E67" i="30"/>
  <c r="F67" i="30" s="1"/>
  <c r="B67" i="30"/>
  <c r="I71" i="22"/>
  <c r="E72" i="27"/>
  <c r="E73" i="27" s="1"/>
  <c r="I63" i="41"/>
  <c r="I67" i="31" l="1"/>
  <c r="G71" i="25"/>
  <c r="H71" i="25"/>
  <c r="I71" i="25" s="1"/>
  <c r="G68" i="31"/>
  <c r="H68" i="31"/>
  <c r="D69" i="31"/>
  <c r="B69" i="31" s="1"/>
  <c r="H68" i="28"/>
  <c r="D69" i="28"/>
  <c r="E69" i="28" s="1"/>
  <c r="F69" i="28" s="1"/>
  <c r="I67" i="28"/>
  <c r="I60" i="47"/>
  <c r="I70" i="13"/>
  <c r="G61" i="48"/>
  <c r="D72" i="13"/>
  <c r="E72" i="13" s="1"/>
  <c r="E73" i="13" s="1"/>
  <c r="F72" i="4"/>
  <c r="H72" i="4" s="1"/>
  <c r="G61" i="47"/>
  <c r="G71" i="13"/>
  <c r="I60" i="54"/>
  <c r="H61" i="47"/>
  <c r="H71" i="13"/>
  <c r="I67" i="29"/>
  <c r="H61" i="54"/>
  <c r="I70" i="23"/>
  <c r="G61" i="54"/>
  <c r="E68" i="29"/>
  <c r="F68" i="29" s="1"/>
  <c r="G68" i="29" s="1"/>
  <c r="I68" i="24"/>
  <c r="I63" i="43"/>
  <c r="D63" i="57"/>
  <c r="E63" i="57" s="1"/>
  <c r="F63" i="57" s="1"/>
  <c r="H63" i="40"/>
  <c r="D64" i="40"/>
  <c r="G63" i="40"/>
  <c r="G66" i="39"/>
  <c r="D67" i="39"/>
  <c r="E64" i="43"/>
  <c r="F64" i="43" s="1"/>
  <c r="H64" i="43" s="1"/>
  <c r="B64" i="43"/>
  <c r="B72" i="55"/>
  <c r="H66" i="42"/>
  <c r="D67" i="42"/>
  <c r="I62" i="49"/>
  <c r="I68" i="28"/>
  <c r="E62" i="48"/>
  <c r="F62" i="48" s="1"/>
  <c r="G62" i="48" s="1"/>
  <c r="B62" i="48"/>
  <c r="D61" i="58"/>
  <c r="E61" i="58" s="1"/>
  <c r="F61" i="58" s="1"/>
  <c r="E69" i="24"/>
  <c r="F69" i="24" s="1"/>
  <c r="B69" i="24"/>
  <c r="E66" i="37"/>
  <c r="F66" i="37" s="1"/>
  <c r="B66" i="37"/>
  <c r="G64" i="41"/>
  <c r="I64" i="41" s="1"/>
  <c r="D65" i="41"/>
  <c r="E71" i="23"/>
  <c r="F71" i="23" s="1"/>
  <c r="B71" i="23"/>
  <c r="G67" i="30"/>
  <c r="H67" i="30"/>
  <c r="D68" i="30"/>
  <c r="B68" i="30" s="1"/>
  <c r="B60" i="58"/>
  <c r="H60" i="58"/>
  <c r="G60" i="58"/>
  <c r="E62" i="54"/>
  <c r="F62" i="54" s="1"/>
  <c r="G62" i="54" s="1"/>
  <c r="B62" i="54"/>
  <c r="E62" i="47"/>
  <c r="F62" i="47" s="1"/>
  <c r="D63" i="47" s="1"/>
  <c r="B62" i="47"/>
  <c r="I71" i="55"/>
  <c r="I72" i="45"/>
  <c r="I73" i="45" s="1"/>
  <c r="E72" i="25"/>
  <c r="E73" i="25" s="1"/>
  <c r="B72" i="25"/>
  <c r="D60" i="59"/>
  <c r="E60" i="59" s="1"/>
  <c r="F60" i="59" s="1"/>
  <c r="F72" i="27"/>
  <c r="G65" i="38"/>
  <c r="I65" i="38" s="1"/>
  <c r="D66" i="38"/>
  <c r="B62" i="57"/>
  <c r="H62" i="57"/>
  <c r="G62" i="57"/>
  <c r="H63" i="49"/>
  <c r="I63" i="49" s="1"/>
  <c r="D64" i="49"/>
  <c r="E64" i="49" s="1"/>
  <c r="F64" i="49" s="1"/>
  <c r="I61" i="57"/>
  <c r="F72" i="22"/>
  <c r="I58" i="59"/>
  <c r="H61" i="48"/>
  <c r="I61" i="48" s="1"/>
  <c r="G66" i="42"/>
  <c r="B59" i="59"/>
  <c r="G59" i="59"/>
  <c r="H59" i="59"/>
  <c r="H66" i="39"/>
  <c r="G72" i="5"/>
  <c r="G73" i="5" s="1"/>
  <c r="H72" i="5"/>
  <c r="H73" i="5" s="1"/>
  <c r="E72" i="55"/>
  <c r="E73" i="55" s="1"/>
  <c r="B69" i="28" l="1"/>
  <c r="E69" i="31"/>
  <c r="F69" i="31" s="1"/>
  <c r="I68" i="31"/>
  <c r="I63" i="40"/>
  <c r="I61" i="54"/>
  <c r="H62" i="48"/>
  <c r="I62" i="48" s="1"/>
  <c r="G72" i="4"/>
  <c r="G73" i="4" s="1"/>
  <c r="I66" i="39"/>
  <c r="H68" i="29"/>
  <c r="I68" i="29" s="1"/>
  <c r="I61" i="47"/>
  <c r="D69" i="29"/>
  <c r="B69" i="29" s="1"/>
  <c r="I66" i="42"/>
  <c r="I60" i="58"/>
  <c r="I71" i="13"/>
  <c r="F72" i="13"/>
  <c r="G72" i="13" s="1"/>
  <c r="G73" i="13" s="1"/>
  <c r="B72" i="13"/>
  <c r="E68" i="30"/>
  <c r="F68" i="30" s="1"/>
  <c r="D69" i="30" s="1"/>
  <c r="B69" i="30" s="1"/>
  <c r="I62" i="57"/>
  <c r="I59" i="59"/>
  <c r="D72" i="23"/>
  <c r="H71" i="23"/>
  <c r="G71" i="23"/>
  <c r="G69" i="24"/>
  <c r="H69" i="24"/>
  <c r="D70" i="24"/>
  <c r="D62" i="58"/>
  <c r="B64" i="49"/>
  <c r="G64" i="49"/>
  <c r="D61" i="59"/>
  <c r="G62" i="47"/>
  <c r="D63" i="54"/>
  <c r="E63" i="54" s="1"/>
  <c r="F63" i="54" s="1"/>
  <c r="B60" i="59"/>
  <c r="G60" i="59"/>
  <c r="H60" i="59"/>
  <c r="I67" i="30"/>
  <c r="E67" i="42"/>
  <c r="F67" i="42" s="1"/>
  <c r="B67" i="42"/>
  <c r="E69" i="29"/>
  <c r="F69" i="29" s="1"/>
  <c r="H62" i="47"/>
  <c r="E65" i="41"/>
  <c r="F65" i="41" s="1"/>
  <c r="B65" i="41"/>
  <c r="B61" i="58"/>
  <c r="H61" i="58"/>
  <c r="G61" i="58"/>
  <c r="G64" i="43"/>
  <c r="I64" i="43" s="1"/>
  <c r="D65" i="43"/>
  <c r="H66" i="37"/>
  <c r="D67" i="37"/>
  <c r="E67" i="37" s="1"/>
  <c r="F67" i="37" s="1"/>
  <c r="D68" i="37" s="1"/>
  <c r="F72" i="25"/>
  <c r="E63" i="47"/>
  <c r="F63" i="47" s="1"/>
  <c r="D64" i="47" s="1"/>
  <c r="B63" i="47"/>
  <c r="H73" i="4"/>
  <c r="E64" i="40"/>
  <c r="F64" i="40" s="1"/>
  <c r="B64" i="40"/>
  <c r="H69" i="28"/>
  <c r="D70" i="28"/>
  <c r="G69" i="28"/>
  <c r="E67" i="39"/>
  <c r="F67" i="39" s="1"/>
  <c r="H67" i="39" s="1"/>
  <c r="B67" i="39"/>
  <c r="H64" i="49"/>
  <c r="D65" i="49"/>
  <c r="H72" i="22"/>
  <c r="G72" i="22"/>
  <c r="G73" i="22" s="1"/>
  <c r="E66" i="38"/>
  <c r="F66" i="38" s="1"/>
  <c r="G66" i="38" s="1"/>
  <c r="B66" i="38"/>
  <c r="H62" i="54"/>
  <c r="I62" i="54" s="1"/>
  <c r="G66" i="37"/>
  <c r="H63" i="57"/>
  <c r="D64" i="57"/>
  <c r="E64" i="57" s="1"/>
  <c r="F64" i="57" s="1"/>
  <c r="D65" i="57" s="1"/>
  <c r="H72" i="27"/>
  <c r="G72" i="27"/>
  <c r="G73" i="27" s="1"/>
  <c r="D63" i="48"/>
  <c r="E63" i="48" s="1"/>
  <c r="F63" i="48" s="1"/>
  <c r="F72" i="55"/>
  <c r="B63" i="57"/>
  <c r="G63" i="57"/>
  <c r="I72" i="4" l="1"/>
  <c r="I73" i="4" s="1"/>
  <c r="H69" i="31"/>
  <c r="D70" i="31"/>
  <c r="B70" i="31" s="1"/>
  <c r="G69" i="31"/>
  <c r="E70" i="31"/>
  <c r="F70" i="31" s="1"/>
  <c r="H68" i="30"/>
  <c r="G68" i="30"/>
  <c r="I68" i="30" s="1"/>
  <c r="I63" i="57"/>
  <c r="I66" i="37"/>
  <c r="H72" i="13"/>
  <c r="E69" i="30"/>
  <c r="F69" i="30" s="1"/>
  <c r="D70" i="30" s="1"/>
  <c r="B70" i="30" s="1"/>
  <c r="I60" i="59"/>
  <c r="I69" i="24"/>
  <c r="I71" i="23"/>
  <c r="G65" i="41"/>
  <c r="D66" i="41"/>
  <c r="H65" i="41"/>
  <c r="H67" i="42"/>
  <c r="D68" i="42"/>
  <c r="G67" i="42"/>
  <c r="E65" i="57"/>
  <c r="F65" i="57" s="1"/>
  <c r="G65" i="57" s="1"/>
  <c r="B65" i="57"/>
  <c r="G64" i="40"/>
  <c r="D65" i="40"/>
  <c r="H64" i="40"/>
  <c r="I64" i="49"/>
  <c r="D70" i="29"/>
  <c r="H69" i="29"/>
  <c r="G69" i="29"/>
  <c r="I72" i="22"/>
  <c r="I73" i="22" s="1"/>
  <c r="H73" i="22"/>
  <c r="E64" i="47"/>
  <c r="F64" i="47" s="1"/>
  <c r="H64" i="47" s="1"/>
  <c r="B64" i="47"/>
  <c r="E65" i="49"/>
  <c r="F65" i="49" s="1"/>
  <c r="G65" i="49" s="1"/>
  <c r="H65" i="49"/>
  <c r="B65" i="49"/>
  <c r="H72" i="25"/>
  <c r="G72" i="25"/>
  <c r="G73" i="25" s="1"/>
  <c r="E70" i="24"/>
  <c r="F70" i="24" s="1"/>
  <c r="B70" i="24"/>
  <c r="B62" i="58"/>
  <c r="H72" i="55"/>
  <c r="G72" i="55"/>
  <c r="G73" i="55" s="1"/>
  <c r="E68" i="37"/>
  <c r="F68" i="37" s="1"/>
  <c r="B68" i="37"/>
  <c r="B61" i="59"/>
  <c r="G63" i="48"/>
  <c r="D64" i="48"/>
  <c r="B64" i="57"/>
  <c r="H64" i="57"/>
  <c r="G64" i="57"/>
  <c r="E70" i="28"/>
  <c r="F70" i="28" s="1"/>
  <c r="B70" i="28"/>
  <c r="B67" i="37"/>
  <c r="H67" i="37"/>
  <c r="G67" i="37"/>
  <c r="G63" i="54"/>
  <c r="D64" i="54"/>
  <c r="I61" i="58"/>
  <c r="I72" i="27"/>
  <c r="I73" i="27" s="1"/>
  <c r="H73" i="27"/>
  <c r="B63" i="48"/>
  <c r="H63" i="48"/>
  <c r="I69" i="28"/>
  <c r="B63" i="54"/>
  <c r="H63" i="54"/>
  <c r="H66" i="38"/>
  <c r="I66" i="38" s="1"/>
  <c r="D67" i="38"/>
  <c r="E67" i="38" s="1"/>
  <c r="F67" i="38" s="1"/>
  <c r="G63" i="47"/>
  <c r="G67" i="39"/>
  <c r="I67" i="39" s="1"/>
  <c r="D68" i="39"/>
  <c r="E65" i="43"/>
  <c r="F65" i="43" s="1"/>
  <c r="B65" i="43"/>
  <c r="H63" i="47"/>
  <c r="I62" i="47"/>
  <c r="E61" i="59"/>
  <c r="F61" i="59" s="1"/>
  <c r="D62" i="59" s="1"/>
  <c r="E62" i="58"/>
  <c r="F62" i="58" s="1"/>
  <c r="G62" i="58" s="1"/>
  <c r="E72" i="23"/>
  <c r="E73" i="23" s="1"/>
  <c r="B72" i="23"/>
  <c r="H70" i="31" l="1"/>
  <c r="G70" i="31"/>
  <c r="D71" i="31"/>
  <c r="B71" i="31" s="1"/>
  <c r="I69" i="31"/>
  <c r="H69" i="30"/>
  <c r="G69" i="30"/>
  <c r="I65" i="41"/>
  <c r="E70" i="30"/>
  <c r="F70" i="30" s="1"/>
  <c r="H70" i="30" s="1"/>
  <c r="G61" i="59"/>
  <c r="I72" i="13"/>
  <c r="I73" i="13" s="1"/>
  <c r="H73" i="13"/>
  <c r="I63" i="54"/>
  <c r="H61" i="59"/>
  <c r="I67" i="42"/>
  <c r="H70" i="24"/>
  <c r="G70" i="24"/>
  <c r="D71" i="24"/>
  <c r="H68" i="37"/>
  <c r="D69" i="37"/>
  <c r="E69" i="37" s="1"/>
  <c r="F69" i="37" s="1"/>
  <c r="D70" i="37" s="1"/>
  <c r="G68" i="37"/>
  <c r="H73" i="55"/>
  <c r="I72" i="55"/>
  <c r="I73" i="55" s="1"/>
  <c r="I64" i="40"/>
  <c r="E68" i="42"/>
  <c r="F68" i="42" s="1"/>
  <c r="G68" i="42" s="1"/>
  <c r="B68" i="42"/>
  <c r="E65" i="40"/>
  <c r="F65" i="40" s="1"/>
  <c r="B65" i="40"/>
  <c r="I72" i="25"/>
  <c r="I73" i="25" s="1"/>
  <c r="H73" i="25"/>
  <c r="I65" i="49"/>
  <c r="E62" i="59"/>
  <c r="F62" i="59" s="1"/>
  <c r="B62" i="59"/>
  <c r="B67" i="38"/>
  <c r="G67" i="38"/>
  <c r="H67" i="38"/>
  <c r="E64" i="54"/>
  <c r="F64" i="54" s="1"/>
  <c r="D65" i="54" s="1"/>
  <c r="B64" i="54"/>
  <c r="D66" i="49"/>
  <c r="E66" i="49" s="1"/>
  <c r="F66" i="49" s="1"/>
  <c r="D67" i="49" s="1"/>
  <c r="I69" i="29"/>
  <c r="E66" i="41"/>
  <c r="F66" i="41" s="1"/>
  <c r="B66" i="41"/>
  <c r="H65" i="43"/>
  <c r="D66" i="43"/>
  <c r="E66" i="43" s="1"/>
  <c r="F66" i="43" s="1"/>
  <c r="D67" i="43" s="1"/>
  <c r="I64" i="57"/>
  <c r="E70" i="29"/>
  <c r="F70" i="29" s="1"/>
  <c r="B70" i="29"/>
  <c r="H65" i="57"/>
  <c r="I65" i="57" s="1"/>
  <c r="D66" i="57"/>
  <c r="E66" i="57" s="1"/>
  <c r="F66" i="57" s="1"/>
  <c r="H62" i="58"/>
  <c r="I62" i="58" s="1"/>
  <c r="D63" i="58"/>
  <c r="E63" i="58" s="1"/>
  <c r="F63" i="58" s="1"/>
  <c r="G70" i="28"/>
  <c r="D71" i="28"/>
  <c r="H70" i="28"/>
  <c r="E68" i="39"/>
  <c r="F68" i="39" s="1"/>
  <c r="G68" i="39" s="1"/>
  <c r="B68" i="39"/>
  <c r="G70" i="30"/>
  <c r="D65" i="47"/>
  <c r="E65" i="47" s="1"/>
  <c r="F65" i="47" s="1"/>
  <c r="D68" i="38"/>
  <c r="E68" i="38" s="1"/>
  <c r="F68" i="38" s="1"/>
  <c r="D69" i="38" s="1"/>
  <c r="I63" i="47"/>
  <c r="G65" i="43"/>
  <c r="F72" i="23"/>
  <c r="I63" i="48"/>
  <c r="I67" i="37"/>
  <c r="E64" i="48"/>
  <c r="F64" i="48" s="1"/>
  <c r="G64" i="48" s="1"/>
  <c r="B64" i="48"/>
  <c r="G64" i="47"/>
  <c r="I64" i="47" s="1"/>
  <c r="D71" i="30" l="1"/>
  <c r="I69" i="30"/>
  <c r="E71" i="31"/>
  <c r="F71" i="31" s="1"/>
  <c r="I70" i="31"/>
  <c r="I61" i="59"/>
  <c r="H64" i="48"/>
  <c r="I64" i="48" s="1"/>
  <c r="I65" i="43"/>
  <c r="H68" i="39"/>
  <c r="I68" i="39" s="1"/>
  <c r="I68" i="37"/>
  <c r="I70" i="28"/>
  <c r="I70" i="30"/>
  <c r="G62" i="59"/>
  <c r="D63" i="59"/>
  <c r="H62" i="59"/>
  <c r="E69" i="38"/>
  <c r="F69" i="38" s="1"/>
  <c r="B69" i="38"/>
  <c r="E67" i="49"/>
  <c r="F67" i="49" s="1"/>
  <c r="D68" i="49" s="1"/>
  <c r="B67" i="49"/>
  <c r="H65" i="40"/>
  <c r="D66" i="40"/>
  <c r="G65" i="40"/>
  <c r="D67" i="41"/>
  <c r="H66" i="41"/>
  <c r="G66" i="41"/>
  <c r="E67" i="43"/>
  <c r="F67" i="43" s="1"/>
  <c r="G67" i="43" s="1"/>
  <c r="B67" i="43"/>
  <c r="E70" i="37"/>
  <c r="F70" i="37" s="1"/>
  <c r="H70" i="37" s="1"/>
  <c r="B70" i="37"/>
  <c r="E71" i="28"/>
  <c r="F71" i="28" s="1"/>
  <c r="B71" i="28"/>
  <c r="E65" i="54"/>
  <c r="F65" i="54" s="1"/>
  <c r="D66" i="54" s="1"/>
  <c r="B65" i="54"/>
  <c r="H68" i="42"/>
  <c r="I68" i="42" s="1"/>
  <c r="D69" i="42"/>
  <c r="B69" i="37"/>
  <c r="G69" i="37"/>
  <c r="H69" i="37"/>
  <c r="I67" i="38"/>
  <c r="E71" i="30"/>
  <c r="F71" i="30" s="1"/>
  <c r="B71" i="30"/>
  <c r="B63" i="58"/>
  <c r="H63" i="58"/>
  <c r="G63" i="58"/>
  <c r="D71" i="29"/>
  <c r="B71" i="29" s="1"/>
  <c r="G70" i="29"/>
  <c r="H70" i="29"/>
  <c r="B66" i="49"/>
  <c r="G66" i="49"/>
  <c r="H66" i="49"/>
  <c r="E71" i="24"/>
  <c r="F71" i="24" s="1"/>
  <c r="B71" i="24"/>
  <c r="D64" i="58"/>
  <c r="E64" i="58" s="1"/>
  <c r="F64" i="58" s="1"/>
  <c r="D65" i="58" s="1"/>
  <c r="H72" i="23"/>
  <c r="G72" i="23"/>
  <c r="G73" i="23" s="1"/>
  <c r="H65" i="47"/>
  <c r="D66" i="47"/>
  <c r="H66" i="57"/>
  <c r="D67" i="57"/>
  <c r="E67" i="57" s="1"/>
  <c r="F67" i="57" s="1"/>
  <c r="G64" i="54"/>
  <c r="B66" i="43"/>
  <c r="G66" i="43"/>
  <c r="H66" i="43"/>
  <c r="B68" i="38"/>
  <c r="H68" i="38"/>
  <c r="G68" i="38"/>
  <c r="D65" i="48"/>
  <c r="D69" i="39"/>
  <c r="E69" i="39" s="1"/>
  <c r="F69" i="39" s="1"/>
  <c r="D70" i="39" s="1"/>
  <c r="B65" i="47"/>
  <c r="G65" i="47"/>
  <c r="B66" i="57"/>
  <c r="G66" i="57"/>
  <c r="H64" i="54"/>
  <c r="I70" i="24"/>
  <c r="G71" i="31" l="1"/>
  <c r="D72" i="31"/>
  <c r="H71" i="31"/>
  <c r="E72" i="31"/>
  <c r="E73" i="31" s="1"/>
  <c r="G67" i="49"/>
  <c r="D70" i="38"/>
  <c r="E70" i="38" s="1"/>
  <c r="F70" i="38" s="1"/>
  <c r="G70" i="38" s="1"/>
  <c r="H69" i="38"/>
  <c r="G65" i="54"/>
  <c r="I62" i="59"/>
  <c r="I70" i="29"/>
  <c r="H67" i="49"/>
  <c r="I68" i="38"/>
  <c r="H65" i="54"/>
  <c r="I64" i="54"/>
  <c r="I63" i="58"/>
  <c r="I66" i="43"/>
  <c r="I66" i="49"/>
  <c r="I66" i="41"/>
  <c r="I69" i="37"/>
  <c r="I65" i="47"/>
  <c r="E65" i="58"/>
  <c r="F65" i="58" s="1"/>
  <c r="G65" i="58" s="1"/>
  <c r="B65" i="58"/>
  <c r="G71" i="28"/>
  <c r="H71" i="28"/>
  <c r="D72" i="28"/>
  <c r="E72" i="28" s="1"/>
  <c r="E73" i="28" s="1"/>
  <c r="E70" i="39"/>
  <c r="F70" i="39" s="1"/>
  <c r="B70" i="39"/>
  <c r="I72" i="23"/>
  <c r="I73" i="23" s="1"/>
  <c r="H73" i="23"/>
  <c r="B67" i="41"/>
  <c r="G69" i="38"/>
  <c r="B65" i="48"/>
  <c r="E71" i="29"/>
  <c r="F71" i="29" s="1"/>
  <c r="E69" i="42"/>
  <c r="F69" i="42" s="1"/>
  <c r="H69" i="42" s="1"/>
  <c r="B69" i="42"/>
  <c r="I65" i="40"/>
  <c r="H67" i="43"/>
  <c r="I67" i="43" s="1"/>
  <c r="D68" i="43"/>
  <c r="D72" i="24"/>
  <c r="H71" i="24"/>
  <c r="G71" i="24"/>
  <c r="G71" i="30"/>
  <c r="H71" i="30"/>
  <c r="D72" i="30"/>
  <c r="B70" i="38"/>
  <c r="E66" i="47"/>
  <c r="F66" i="47" s="1"/>
  <c r="D67" i="47" s="1"/>
  <c r="B66" i="47"/>
  <c r="G70" i="37"/>
  <c r="I70" i="37" s="1"/>
  <c r="D71" i="37"/>
  <c r="B64" i="58"/>
  <c r="H64" i="58"/>
  <c r="G64" i="58"/>
  <c r="E66" i="40"/>
  <c r="F66" i="40" s="1"/>
  <c r="B66" i="40"/>
  <c r="B69" i="39"/>
  <c r="G69" i="39"/>
  <c r="H69" i="39"/>
  <c r="E66" i="54"/>
  <c r="F66" i="54" s="1"/>
  <c r="G66" i="54" s="1"/>
  <c r="B66" i="54"/>
  <c r="E63" i="59"/>
  <c r="F63" i="59" s="1"/>
  <c r="B63" i="59"/>
  <c r="I66" i="57"/>
  <c r="D68" i="57"/>
  <c r="E68" i="57" s="1"/>
  <c r="B67" i="57"/>
  <c r="H67" i="57"/>
  <c r="G67" i="57"/>
  <c r="E65" i="48"/>
  <c r="F65" i="48" s="1"/>
  <c r="D66" i="48" s="1"/>
  <c r="E67" i="41"/>
  <c r="F67" i="41" s="1"/>
  <c r="D68" i="41" s="1"/>
  <c r="E68" i="49"/>
  <c r="F68" i="49" s="1"/>
  <c r="B68" i="49"/>
  <c r="I71" i="31" l="1"/>
  <c r="I69" i="38"/>
  <c r="I67" i="49"/>
  <c r="B72" i="31"/>
  <c r="F72" i="31"/>
  <c r="I65" i="54"/>
  <c r="H65" i="48"/>
  <c r="I67" i="57"/>
  <c r="H66" i="54"/>
  <c r="I66" i="54" s="1"/>
  <c r="I71" i="28"/>
  <c r="I64" i="58"/>
  <c r="G63" i="59"/>
  <c r="D64" i="59"/>
  <c r="E64" i="59" s="1"/>
  <c r="F64" i="59" s="1"/>
  <c r="D65" i="59" s="1"/>
  <c r="H63" i="59"/>
  <c r="D69" i="49"/>
  <c r="E69" i="49" s="1"/>
  <c r="F69" i="49" s="1"/>
  <c r="G68" i="49"/>
  <c r="H68" i="49"/>
  <c r="G70" i="39"/>
  <c r="D71" i="39"/>
  <c r="H70" i="39"/>
  <c r="D67" i="40"/>
  <c r="G66" i="40"/>
  <c r="H66" i="40"/>
  <c r="G69" i="42"/>
  <c r="I69" i="42" s="1"/>
  <c r="D70" i="42"/>
  <c r="E70" i="42" s="1"/>
  <c r="F70" i="42" s="1"/>
  <c r="B72" i="28"/>
  <c r="F72" i="28"/>
  <c r="E71" i="37"/>
  <c r="F71" i="37" s="1"/>
  <c r="H71" i="37" s="1"/>
  <c r="B71" i="37"/>
  <c r="I71" i="24"/>
  <c r="E72" i="24"/>
  <c r="E73" i="24" s="1"/>
  <c r="B72" i="24"/>
  <c r="H67" i="41"/>
  <c r="E66" i="48"/>
  <c r="F66" i="48" s="1"/>
  <c r="H66" i="48" s="1"/>
  <c r="B66" i="48"/>
  <c r="H70" i="38"/>
  <c r="I70" i="38" s="1"/>
  <c r="D71" i="38"/>
  <c r="E68" i="43"/>
  <c r="F68" i="43" s="1"/>
  <c r="H68" i="43" s="1"/>
  <c r="B68" i="43"/>
  <c r="G67" i="41"/>
  <c r="B68" i="57"/>
  <c r="F68" i="57"/>
  <c r="G68" i="57" s="1"/>
  <c r="E67" i="47"/>
  <c r="F67" i="47" s="1"/>
  <c r="D68" i="47" s="1"/>
  <c r="B67" i="47"/>
  <c r="E68" i="41"/>
  <c r="F68" i="41" s="1"/>
  <c r="G68" i="41" s="1"/>
  <c r="B68" i="41"/>
  <c r="E72" i="30"/>
  <c r="E73" i="30" s="1"/>
  <c r="B72" i="30"/>
  <c r="G71" i="29"/>
  <c r="D72" i="29"/>
  <c r="H71" i="29"/>
  <c r="H65" i="58"/>
  <c r="I65" i="58" s="1"/>
  <c r="D66" i="58"/>
  <c r="D67" i="54"/>
  <c r="E67" i="54" s="1"/>
  <c r="F67" i="54" s="1"/>
  <c r="H66" i="47"/>
  <c r="I69" i="39"/>
  <c r="G66" i="47"/>
  <c r="I71" i="30"/>
  <c r="G65" i="48"/>
  <c r="I65" i="48" s="1"/>
  <c r="G72" i="31" l="1"/>
  <c r="G73" i="31" s="1"/>
  <c r="H72" i="31"/>
  <c r="G66" i="48"/>
  <c r="G67" i="47"/>
  <c r="F72" i="24"/>
  <c r="G72" i="24" s="1"/>
  <c r="G73" i="24" s="1"/>
  <c r="I70" i="39"/>
  <c r="I63" i="59"/>
  <c r="I66" i="48"/>
  <c r="I71" i="29"/>
  <c r="D70" i="49"/>
  <c r="E70" i="49" s="1"/>
  <c r="F70" i="49" s="1"/>
  <c r="G70" i="42"/>
  <c r="D71" i="42"/>
  <c r="H68" i="57"/>
  <c r="I68" i="57" s="1"/>
  <c r="D69" i="57"/>
  <c r="E69" i="57" s="1"/>
  <c r="F69" i="57" s="1"/>
  <c r="E71" i="39"/>
  <c r="F71" i="39" s="1"/>
  <c r="B71" i="39"/>
  <c r="B70" i="42"/>
  <c r="H70" i="42"/>
  <c r="B69" i="49"/>
  <c r="H69" i="49"/>
  <c r="G69" i="49"/>
  <c r="E72" i="29"/>
  <c r="E73" i="29" s="1"/>
  <c r="B72" i="29"/>
  <c r="G68" i="43"/>
  <c r="I68" i="43" s="1"/>
  <c r="D69" i="43"/>
  <c r="D67" i="48"/>
  <c r="E67" i="48" s="1"/>
  <c r="F67" i="48" s="1"/>
  <c r="D68" i="48" s="1"/>
  <c r="I66" i="47"/>
  <c r="I67" i="41"/>
  <c r="E65" i="59"/>
  <c r="F65" i="59" s="1"/>
  <c r="G65" i="59" s="1"/>
  <c r="B65" i="59"/>
  <c r="H67" i="54"/>
  <c r="D68" i="54"/>
  <c r="F72" i="30"/>
  <c r="H67" i="47"/>
  <c r="I67" i="47" s="1"/>
  <c r="I66" i="40"/>
  <c r="B64" i="59"/>
  <c r="G64" i="59"/>
  <c r="H64" i="59"/>
  <c r="H68" i="41"/>
  <c r="I68" i="41" s="1"/>
  <c r="D69" i="41"/>
  <c r="E69" i="41" s="1"/>
  <c r="F69" i="41" s="1"/>
  <c r="D70" i="41" s="1"/>
  <c r="E71" i="38"/>
  <c r="F71" i="38" s="1"/>
  <c r="G71" i="38" s="1"/>
  <c r="B71" i="38"/>
  <c r="H72" i="24"/>
  <c r="H72" i="28"/>
  <c r="G72" i="28"/>
  <c r="G73" i="28" s="1"/>
  <c r="E66" i="58"/>
  <c r="F66" i="58" s="1"/>
  <c r="H66" i="58" s="1"/>
  <c r="B66" i="58"/>
  <c r="G71" i="37"/>
  <c r="I71" i="37" s="1"/>
  <c r="D72" i="37"/>
  <c r="E72" i="37" s="1"/>
  <c r="E73" i="37" s="1"/>
  <c r="B67" i="54"/>
  <c r="G67" i="54"/>
  <c r="E68" i="47"/>
  <c r="F68" i="47" s="1"/>
  <c r="B68" i="47"/>
  <c r="E67" i="40"/>
  <c r="F67" i="40" s="1"/>
  <c r="G67" i="40" s="1"/>
  <c r="B67" i="40"/>
  <c r="I68" i="49"/>
  <c r="H65" i="59" l="1"/>
  <c r="I72" i="31"/>
  <c r="I73" i="31" s="1"/>
  <c r="H73" i="31"/>
  <c r="I70" i="42"/>
  <c r="I69" i="49"/>
  <c r="G71" i="39"/>
  <c r="D72" i="39"/>
  <c r="H71" i="39"/>
  <c r="G69" i="57"/>
  <c r="D70" i="57"/>
  <c r="E70" i="41"/>
  <c r="F70" i="41" s="1"/>
  <c r="G70" i="41" s="1"/>
  <c r="B70" i="41"/>
  <c r="I67" i="54"/>
  <c r="D67" i="58"/>
  <c r="E67" i="58" s="1"/>
  <c r="I64" i="59"/>
  <c r="B67" i="48"/>
  <c r="G67" i="48"/>
  <c r="H67" i="48"/>
  <c r="D69" i="47"/>
  <c r="E69" i="47" s="1"/>
  <c r="F69" i="47" s="1"/>
  <c r="D70" i="47" s="1"/>
  <c r="E68" i="48"/>
  <c r="F68" i="48" s="1"/>
  <c r="G68" i="48" s="1"/>
  <c r="B68" i="48"/>
  <c r="H67" i="40"/>
  <c r="I67" i="40" s="1"/>
  <c r="D68" i="40"/>
  <c r="I65" i="59"/>
  <c r="E69" i="43"/>
  <c r="F69" i="43" s="1"/>
  <c r="B69" i="43"/>
  <c r="H71" i="38"/>
  <c r="I71" i="38" s="1"/>
  <c r="D72" i="38"/>
  <c r="B69" i="57"/>
  <c r="H69" i="57"/>
  <c r="E71" i="42"/>
  <c r="F71" i="42" s="1"/>
  <c r="H71" i="42" s="1"/>
  <c r="B71" i="42"/>
  <c r="B72" i="37"/>
  <c r="F72" i="37"/>
  <c r="G72" i="37" s="1"/>
  <c r="G73" i="37" s="1"/>
  <c r="D66" i="59"/>
  <c r="E66" i="59" s="1"/>
  <c r="F66" i="59" s="1"/>
  <c r="D67" i="59" s="1"/>
  <c r="F72" i="29"/>
  <c r="I72" i="28"/>
  <c r="I73" i="28" s="1"/>
  <c r="H73" i="28"/>
  <c r="B69" i="41"/>
  <c r="G69" i="41"/>
  <c r="H69" i="41"/>
  <c r="H70" i="49"/>
  <c r="D71" i="49"/>
  <c r="E71" i="49" s="1"/>
  <c r="F71" i="49" s="1"/>
  <c r="H68" i="47"/>
  <c r="G68" i="47"/>
  <c r="G72" i="30"/>
  <c r="G73" i="30" s="1"/>
  <c r="H72" i="30"/>
  <c r="G66" i="58"/>
  <c r="I66" i="58" s="1"/>
  <c r="I72" i="24"/>
  <c r="I73" i="24" s="1"/>
  <c r="H73" i="24"/>
  <c r="E68" i="54"/>
  <c r="F68" i="54" s="1"/>
  <c r="D69" i="54" s="1"/>
  <c r="B68" i="54"/>
  <c r="B70" i="49"/>
  <c r="G70" i="49"/>
  <c r="I71" i="39" l="1"/>
  <c r="I69" i="57"/>
  <c r="I70" i="49"/>
  <c r="G68" i="54"/>
  <c r="I68" i="47"/>
  <c r="I67" i="48"/>
  <c r="H68" i="48"/>
  <c r="I68" i="48" s="1"/>
  <c r="H68" i="54"/>
  <c r="E70" i="47"/>
  <c r="F70" i="47" s="1"/>
  <c r="H70" i="47" s="1"/>
  <c r="B70" i="47"/>
  <c r="D72" i="49"/>
  <c r="E72" i="49" s="1"/>
  <c r="E73" i="49" s="1"/>
  <c r="H69" i="43"/>
  <c r="D70" i="43"/>
  <c r="D69" i="48"/>
  <c r="E69" i="48" s="1"/>
  <c r="F69" i="48" s="1"/>
  <c r="B67" i="58"/>
  <c r="F67" i="58"/>
  <c r="G67" i="58" s="1"/>
  <c r="E70" i="57"/>
  <c r="F70" i="57" s="1"/>
  <c r="G70" i="57" s="1"/>
  <c r="B70" i="57"/>
  <c r="B71" i="49"/>
  <c r="G71" i="49"/>
  <c r="H71" i="49"/>
  <c r="H72" i="29"/>
  <c r="G72" i="29"/>
  <c r="G73" i="29" s="1"/>
  <c r="G71" i="42"/>
  <c r="I71" i="42" s="1"/>
  <c r="D72" i="42"/>
  <c r="B69" i="47"/>
  <c r="G69" i="47"/>
  <c r="H69" i="47"/>
  <c r="E67" i="59"/>
  <c r="F67" i="59" s="1"/>
  <c r="G67" i="59" s="1"/>
  <c r="B67" i="59"/>
  <c r="E68" i="40"/>
  <c r="F68" i="40" s="1"/>
  <c r="G68" i="40" s="1"/>
  <c r="B68" i="40"/>
  <c r="E72" i="39"/>
  <c r="E73" i="39" s="1"/>
  <c r="B72" i="39"/>
  <c r="E72" i="38"/>
  <c r="E73" i="38" s="1"/>
  <c r="B72" i="38"/>
  <c r="I72" i="30"/>
  <c r="I73" i="30" s="1"/>
  <c r="H73" i="30"/>
  <c r="I69" i="41"/>
  <c r="B66" i="59"/>
  <c r="H66" i="59"/>
  <c r="G66" i="59"/>
  <c r="H72" i="37"/>
  <c r="H70" i="41"/>
  <c r="I70" i="41" s="1"/>
  <c r="D71" i="41"/>
  <c r="E71" i="41" s="1"/>
  <c r="F71" i="41" s="1"/>
  <c r="D72" i="41" s="1"/>
  <c r="E69" i="54"/>
  <c r="F69" i="54" s="1"/>
  <c r="D70" i="54" s="1"/>
  <c r="B69" i="54"/>
  <c r="G69" i="43"/>
  <c r="I68" i="54" l="1"/>
  <c r="G70" i="47"/>
  <c r="F72" i="39"/>
  <c r="G72" i="39" s="1"/>
  <c r="G73" i="39" s="1"/>
  <c r="H70" i="57"/>
  <c r="H72" i="39"/>
  <c r="G69" i="54"/>
  <c r="I69" i="43"/>
  <c r="E72" i="41"/>
  <c r="E73" i="41" s="1"/>
  <c r="B72" i="41"/>
  <c r="I69" i="47"/>
  <c r="H67" i="58"/>
  <c r="I67" i="58" s="1"/>
  <c r="I72" i="37"/>
  <c r="I73" i="37" s="1"/>
  <c r="H73" i="37"/>
  <c r="E70" i="54"/>
  <c r="F70" i="54" s="1"/>
  <c r="D71" i="54" s="1"/>
  <c r="B70" i="54"/>
  <c r="H68" i="40"/>
  <c r="I68" i="40" s="1"/>
  <c r="D69" i="40"/>
  <c r="D68" i="58"/>
  <c r="E68" i="58" s="1"/>
  <c r="F68" i="58" s="1"/>
  <c r="B72" i="49"/>
  <c r="F72" i="49"/>
  <c r="H72" i="49" s="1"/>
  <c r="I66" i="59"/>
  <c r="F72" i="38"/>
  <c r="E72" i="42"/>
  <c r="E73" i="42" s="1"/>
  <c r="B72" i="42"/>
  <c r="G69" i="48"/>
  <c r="D70" i="48"/>
  <c r="E70" i="48" s="1"/>
  <c r="F70" i="48" s="1"/>
  <c r="D71" i="48" s="1"/>
  <c r="I72" i="39"/>
  <c r="I73" i="39" s="1"/>
  <c r="H73" i="39"/>
  <c r="I70" i="57"/>
  <c r="B69" i="48"/>
  <c r="H69" i="48"/>
  <c r="I70" i="47"/>
  <c r="I72" i="29"/>
  <c r="I73" i="29" s="1"/>
  <c r="H73" i="29"/>
  <c r="E70" i="43"/>
  <c r="F70" i="43" s="1"/>
  <c r="B70" i="43"/>
  <c r="D71" i="47"/>
  <c r="E71" i="47" s="1"/>
  <c r="F71" i="47" s="1"/>
  <c r="D72" i="47" s="1"/>
  <c r="B71" i="41"/>
  <c r="H71" i="41"/>
  <c r="G71" i="41"/>
  <c r="H69" i="54"/>
  <c r="H67" i="59"/>
  <c r="I67" i="59" s="1"/>
  <c r="D68" i="59"/>
  <c r="E68" i="59" s="1"/>
  <c r="F68" i="59" s="1"/>
  <c r="I71" i="49"/>
  <c r="D71" i="57"/>
  <c r="E71" i="57" s="1"/>
  <c r="F71" i="57" s="1"/>
  <c r="G70" i="54" l="1"/>
  <c r="I69" i="54"/>
  <c r="F72" i="41"/>
  <c r="H72" i="41" s="1"/>
  <c r="G72" i="49"/>
  <c r="G73" i="49" s="1"/>
  <c r="I69" i="48"/>
  <c r="F72" i="42"/>
  <c r="H72" i="42" s="1"/>
  <c r="H73" i="42" s="1"/>
  <c r="I71" i="41"/>
  <c r="D69" i="58"/>
  <c r="E69" i="58" s="1"/>
  <c r="F69" i="58" s="1"/>
  <c r="H71" i="57"/>
  <c r="D72" i="57"/>
  <c r="H70" i="43"/>
  <c r="D71" i="43"/>
  <c r="G70" i="43"/>
  <c r="E71" i="48"/>
  <c r="F71" i="48" s="1"/>
  <c r="D72" i="48" s="1"/>
  <c r="B71" i="48"/>
  <c r="H70" i="54"/>
  <c r="I70" i="54" s="1"/>
  <c r="B71" i="57"/>
  <c r="G71" i="57"/>
  <c r="E72" i="47"/>
  <c r="E73" i="47" s="1"/>
  <c r="B72" i="47"/>
  <c r="D69" i="59"/>
  <c r="E69" i="59" s="1"/>
  <c r="F69" i="59" s="1"/>
  <c r="E71" i="54"/>
  <c r="F71" i="54" s="1"/>
  <c r="D72" i="54" s="1"/>
  <c r="B71" i="54"/>
  <c r="B71" i="47"/>
  <c r="G71" i="47"/>
  <c r="H71" i="47"/>
  <c r="H73" i="41"/>
  <c r="I72" i="49"/>
  <c r="I73" i="49" s="1"/>
  <c r="H73" i="49"/>
  <c r="B70" i="48"/>
  <c r="H70" i="48"/>
  <c r="G70" i="48"/>
  <c r="B68" i="59"/>
  <c r="G68" i="59"/>
  <c r="H68" i="59"/>
  <c r="H72" i="38"/>
  <c r="G72" i="38"/>
  <c r="G73" i="38" s="1"/>
  <c r="B68" i="58"/>
  <c r="H68" i="58"/>
  <c r="G68" i="58"/>
  <c r="E69" i="40"/>
  <c r="F69" i="40" s="1"/>
  <c r="B69" i="40"/>
  <c r="G72" i="42" l="1"/>
  <c r="G73" i="42" s="1"/>
  <c r="G72" i="41"/>
  <c r="G73" i="41" s="1"/>
  <c r="D70" i="40"/>
  <c r="G69" i="40"/>
  <c r="F72" i="47"/>
  <c r="G71" i="48"/>
  <c r="I70" i="43"/>
  <c r="H71" i="54"/>
  <c r="G71" i="54"/>
  <c r="I71" i="57"/>
  <c r="I68" i="58"/>
  <c r="I68" i="59"/>
  <c r="E70" i="40"/>
  <c r="F70" i="40" s="1"/>
  <c r="H70" i="40" s="1"/>
  <c r="B70" i="40"/>
  <c r="E72" i="48"/>
  <c r="E73" i="48" s="1"/>
  <c r="B72" i="48"/>
  <c r="E71" i="43"/>
  <c r="F71" i="43" s="1"/>
  <c r="G71" i="43" s="1"/>
  <c r="B71" i="43"/>
  <c r="I72" i="42"/>
  <c r="I73" i="42" s="1"/>
  <c r="E72" i="57"/>
  <c r="E73" i="57" s="1"/>
  <c r="B72" i="57"/>
  <c r="E72" i="54"/>
  <c r="E73" i="54" s="1"/>
  <c r="B72" i="54"/>
  <c r="I72" i="38"/>
  <c r="I73" i="38" s="1"/>
  <c r="H73" i="38"/>
  <c r="I71" i="47"/>
  <c r="D70" i="59"/>
  <c r="E70" i="59" s="1"/>
  <c r="H69" i="58"/>
  <c r="D70" i="58"/>
  <c r="E70" i="58" s="1"/>
  <c r="F70" i="58" s="1"/>
  <c r="H69" i="40"/>
  <c r="I69" i="40" s="1"/>
  <c r="I70" i="48"/>
  <c r="B69" i="59"/>
  <c r="H69" i="59"/>
  <c r="G69" i="59"/>
  <c r="H71" i="48"/>
  <c r="B69" i="58"/>
  <c r="G69" i="58"/>
  <c r="I72" i="41" l="1"/>
  <c r="I73" i="41" s="1"/>
  <c r="I71" i="48"/>
  <c r="F72" i="48"/>
  <c r="G72" i="48" s="1"/>
  <c r="G73" i="48" s="1"/>
  <c r="G72" i="47"/>
  <c r="G73" i="47" s="1"/>
  <c r="H72" i="47"/>
  <c r="F72" i="54"/>
  <c r="F72" i="57"/>
  <c r="H72" i="57" s="1"/>
  <c r="H73" i="57" s="1"/>
  <c r="I71" i="54"/>
  <c r="I69" i="58"/>
  <c r="F70" i="59"/>
  <c r="G70" i="59" s="1"/>
  <c r="B70" i="59"/>
  <c r="G70" i="58"/>
  <c r="D71" i="58"/>
  <c r="E71" i="58" s="1"/>
  <c r="F71" i="58" s="1"/>
  <c r="H71" i="43"/>
  <c r="I71" i="43" s="1"/>
  <c r="D72" i="43"/>
  <c r="G70" i="40"/>
  <c r="I70" i="40" s="1"/>
  <c r="D71" i="40"/>
  <c r="E71" i="40" s="1"/>
  <c r="F71" i="40" s="1"/>
  <c r="D72" i="40" s="1"/>
  <c r="B70" i="58"/>
  <c r="H70" i="58"/>
  <c r="I69" i="59"/>
  <c r="H72" i="48"/>
  <c r="G72" i="57" l="1"/>
  <c r="G73" i="57" s="1"/>
  <c r="G72" i="54"/>
  <c r="G73" i="54" s="1"/>
  <c r="H72" i="54"/>
  <c r="I72" i="47"/>
  <c r="I73" i="47" s="1"/>
  <c r="H73" i="47"/>
  <c r="I70" i="58"/>
  <c r="E72" i="40"/>
  <c r="E73" i="40" s="1"/>
  <c r="B72" i="40"/>
  <c r="D72" i="58"/>
  <c r="I72" i="48"/>
  <c r="I73" i="48" s="1"/>
  <c r="H73" i="48"/>
  <c r="B71" i="40"/>
  <c r="G71" i="40"/>
  <c r="H71" i="40"/>
  <c r="H70" i="59"/>
  <c r="I70" i="59" s="1"/>
  <c r="D71" i="59"/>
  <c r="E72" i="43"/>
  <c r="E73" i="43" s="1"/>
  <c r="B72" i="43"/>
  <c r="B71" i="58"/>
  <c r="H71" i="58"/>
  <c r="G71" i="58"/>
  <c r="I72" i="57"/>
  <c r="I73" i="57" s="1"/>
  <c r="F72" i="40" l="1"/>
  <c r="H72" i="40" s="1"/>
  <c r="H73" i="54"/>
  <c r="I72" i="54"/>
  <c r="I73" i="54" s="1"/>
  <c r="F72" i="43"/>
  <c r="G72" i="40"/>
  <c r="G73" i="40" s="1"/>
  <c r="I71" i="40"/>
  <c r="B72" i="58"/>
  <c r="I72" i="40"/>
  <c r="I73" i="40" s="1"/>
  <c r="H73" i="40"/>
  <c r="I71" i="58"/>
  <c r="E71" i="59"/>
  <c r="F71" i="59" s="1"/>
  <c r="B71" i="59"/>
  <c r="E72" i="58"/>
  <c r="E73" i="58" s="1"/>
  <c r="H71" i="59" l="1"/>
  <c r="G71" i="59"/>
  <c r="G72" i="43"/>
  <c r="G73" i="43" s="1"/>
  <c r="H72" i="43"/>
  <c r="I71" i="59"/>
  <c r="F72" i="58"/>
  <c r="D72" i="59"/>
  <c r="E72" i="59" s="1"/>
  <c r="E73" i="59" s="1"/>
  <c r="H73" i="43" l="1"/>
  <c r="I72" i="43"/>
  <c r="I73" i="43" s="1"/>
  <c r="B72" i="59"/>
  <c r="F72" i="59"/>
  <c r="G72" i="59" s="1"/>
  <c r="G73" i="59" s="1"/>
  <c r="G72" i="58"/>
  <c r="G73" i="58" s="1"/>
  <c r="H72" i="58"/>
  <c r="H72" i="59" l="1"/>
  <c r="I72" i="58"/>
  <c r="I73" i="58" s="1"/>
  <c r="H73" i="58"/>
  <c r="I72" i="59"/>
  <c r="I73" i="59" s="1"/>
  <c r="H73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  <author>S177040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cell [P.xxx]!$D$7]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cell [P.xxx]!$D$11]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[P.xxx]!$N$5]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sheet [P.00x]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 by Project</t>
        </r>
        <r>
          <rPr>
            <sz val="8"/>
            <color indexed="81"/>
            <rFont val="Tahoma"/>
            <family val="2"/>
          </rPr>
          <t>" sheet column Q.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C2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AEP:
</t>
        </r>
        <r>
          <rPr>
            <sz val="9"/>
            <color indexed="81"/>
            <rFont val="Tahoma"/>
            <family val="2"/>
          </rPr>
          <t xml:space="preserve">The SPP NTC only allows 94% of this project to be Base Plan.  Therefore, from 2014 Update onward, the indicated ATTR is based upon 94% of actual project investment.
In previous annual Updates, AEP provided 100% investment based ATRR thus SPP only collected 94% of the indicated ATRRs.  
Repeating:  from 2014 Update onward, no scaling is required by SPP as the indicated ATRR is already refelcting the 94% scaler per the original NTC.
</t>
        </r>
      </text>
    </comment>
    <comment ref="K56" authorId="2" shapeId="0" xr:uid="{00000000-0006-0000-0000-00000C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2014.  Represents Sch. 11 revenues remitted from SPP&gt;</t>
        </r>
      </text>
    </comment>
    <comment ref="Q56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S177040:</t>
        </r>
        <r>
          <rPr>
            <sz val="9"/>
            <color indexed="81"/>
            <rFont val="Tahoma"/>
            <family val="2"/>
          </rPr>
          <t xml:space="preserve">
From "33" Base Plan Interest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previous years depreciation.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Williamson</author>
    <author>rlp</author>
  </authors>
  <commentList>
    <comment ref="O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Williamson:</t>
        </r>
        <r>
          <rPr>
            <sz val="9"/>
            <color indexed="81"/>
            <rFont val="Tahoma"/>
            <family val="2"/>
          </rPr>
          <t xml:space="preserve">
Wavetrap at Snyder portion of this project is being DA to WFEC due to the cancellation of their power plant construction.</t>
        </r>
      </text>
    </comment>
    <comment ref="D10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prior year(s) depreciation.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G17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Projected 2008 ARR not published in 2008 update because project not included until 2009 update.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2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(not prev published).</t>
        </r>
      </text>
    </comment>
    <comment ref="D10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2007/6 historic values from 09 template calculations (not prev published).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calculations (data not prev published).</t>
        </r>
      </text>
    </comment>
    <comment ref="D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2008/7 hist values from 09 template (not prev published).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D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Per SPP NTC, Investment (EOY) is input as 94% of actual total investment provided by Planning.</t>
        </r>
      </text>
    </comment>
    <comment ref="D2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This year's Beginning Balance changed by both an IU (investment update) as well as starting the 94% scaler.  This year (2014) reflects 1st year Investment (EOY) value is scaled 94% on the front end vs SPP scaling ARR values on the back end.</t>
        </r>
      </text>
    </comment>
  </commentList>
</comments>
</file>

<file path=xl/sharedStrings.xml><?xml version="1.0" encoding="utf-8"?>
<sst xmlns="http://schemas.openxmlformats.org/spreadsheetml/2006/main" count="4881" uniqueCount="456">
  <si>
    <t>I.</t>
  </si>
  <si>
    <t xml:space="preserve">   Project ROE Incentive Adder (Enter as whole number)</t>
  </si>
  <si>
    <t>&lt;==Incentive ROE  Cannot Exceed 12.45%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</si>
  <si>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</si>
  <si>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</si>
  <si>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</si>
  <si>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</si>
  <si>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</si>
  <si>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</si>
  <si>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</si>
  <si>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</si>
  <si>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</si>
  <si>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</si>
  <si>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</si>
  <si>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</si>
  <si>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</si>
  <si>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</si>
  <si>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</si>
  <si>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</si>
  <si>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</si>
  <si>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</si>
  <si>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</si>
  <si>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</si>
  <si>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</si>
  <si>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</si>
  <si>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</si>
  <si>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</si>
  <si>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</si>
  <si>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</si>
  <si>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</si>
  <si>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</si>
  <si>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</si>
  <si>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</si>
  <si>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</si>
  <si>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</si>
  <si>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</si>
  <si>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</si>
  <si>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</si>
  <si>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</si>
  <si>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</si>
  <si>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</si>
  <si>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</si>
  <si>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</si>
  <si>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</si>
  <si>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</si>
  <si>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</si>
  <si>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</si>
  <si>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</si>
  <si>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</si>
  <si>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TP2006087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</si>
  <si>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</si>
  <si>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</si>
  <si>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</si>
  <si>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</si>
  <si>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</si>
  <si>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</si>
  <si>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</si>
  <si>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</si>
  <si>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</si>
  <si>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</si>
  <si>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</si>
  <si>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</si>
  <si>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</si>
  <si>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</si>
  <si>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</si>
  <si>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</si>
  <si>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</si>
  <si>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</si>
  <si>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</si>
  <si>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</si>
  <si>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</si>
  <si>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</si>
  <si>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</si>
  <si>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</si>
  <si>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</si>
  <si>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</si>
  <si>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</si>
  <si>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</si>
  <si>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</si>
  <si>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</si>
  <si>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TP2007059</t>
  </si>
  <si>
    <t>TP2006054</t>
  </si>
  <si>
    <t>TP2004147</t>
  </si>
  <si>
    <t>TP2005006</t>
  </si>
  <si>
    <t>Pryor Junction 138/69 Upgrade Transf</t>
  </si>
  <si>
    <t>TP2006090</t>
  </si>
  <si>
    <t>TP2007015</t>
  </si>
  <si>
    <t>TP2005046</t>
  </si>
  <si>
    <t>TP2004033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</si>
  <si>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</si>
  <si>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</si>
  <si>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</si>
  <si>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</si>
  <si>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</si>
  <si>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</si>
  <si>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</si>
  <si>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</si>
  <si>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</si>
  <si>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</si>
  <si>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</si>
  <si>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</si>
  <si>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t xml:space="preserve">Average </t>
  </si>
  <si>
    <t>BPU Rev. Req't.From Prior Year Template</t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</si>
  <si>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</si>
  <si>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</si>
  <si>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</si>
  <si>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</si>
  <si>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</si>
  <si>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inset project name here</t>
  </si>
  <si>
    <t>Long Term Debt %</t>
  </si>
  <si>
    <t>Long Term Debt Cost</t>
  </si>
  <si>
    <t>Preferred Stock %</t>
  </si>
  <si>
    <t>Preferred Stock Cost</t>
  </si>
  <si>
    <t>Common Stock %</t>
  </si>
  <si>
    <t>EXPORT DATA to Template PSO WS F</t>
  </si>
  <si>
    <t>STEP 2</t>
  </si>
  <si>
    <t>STEP 3</t>
  </si>
  <si>
    <t>PSO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</si>
  <si>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</si>
  <si>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</si>
  <si>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</si>
  <si>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</si>
  <si>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</si>
  <si>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</si>
  <si>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PUBLIC SERVICE COMPANY OF OKLAHOMA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</si>
  <si>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</si>
  <si>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</si>
  <si>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</si>
  <si>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</si>
  <si>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</si>
  <si>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</si>
  <si>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</si>
  <si>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</si>
  <si>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</si>
  <si>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EXPORT DATA to main FR Template PSO WS G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</si>
  <si>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</si>
  <si>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</si>
  <si>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</si>
  <si>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</si>
  <si>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</si>
  <si>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</si>
  <si>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</si>
  <si>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Worksheet F --- DATA INPUT (Paste.Values) from TEMPLATE PSO WS F</t>
  </si>
  <si>
    <t>&lt;----Worksheet data is for</t>
  </si>
  <si>
    <t>Worksheet F</t>
  </si>
  <si>
    <t>Worksheet G</t>
  </si>
  <si>
    <r>
      <t>Worksheet G  --  PUBLIC SERVICE COMPANY OF OKLAHOMA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</si>
  <si>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r>
      <t>Worksheet F  --  PUBLIC SERVICE COMPANY OF OKLAHOMA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</si>
  <si>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</si>
  <si>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</si>
  <si>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 xml:space="preserve">(Worksheet F)    </t>
  </si>
  <si>
    <t xml:space="preserve">(Worksheet G)    </t>
  </si>
  <si>
    <t>basis points</t>
  </si>
  <si>
    <t>w/Incentives</t>
  </si>
  <si>
    <t xml:space="preserve">Prior Year Projected  (WS-F)  </t>
  </si>
  <si>
    <t xml:space="preserve">Prior Year True-Up  (WS-G)  </t>
  </si>
  <si>
    <t xml:space="preserve">True-Up Adjustment  </t>
  </si>
  <si>
    <t>AEP Transmission Formula Rate Template</t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</si>
  <si>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</si>
  <si>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</si>
  <si>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</si>
  <si>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</si>
  <si>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</si>
  <si>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</si>
  <si>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</si>
  <si>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</si>
  <si>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</si>
  <si>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</si>
  <si>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Base ARR</t>
  </si>
  <si>
    <t>Owner</t>
  </si>
  <si>
    <t>Year in Service</t>
  </si>
  <si>
    <t>Incentive</t>
  </si>
  <si>
    <t>Total</t>
  </si>
  <si>
    <t>True-up</t>
  </si>
  <si>
    <t>As Billed</t>
  </si>
  <si>
    <t>Change</t>
  </si>
  <si>
    <t>Interest</t>
  </si>
  <si>
    <t>PSO Total</t>
  </si>
  <si>
    <t>P.001</t>
  </si>
  <si>
    <t>Sheet Name</t>
  </si>
  <si>
    <t>P.002</t>
  </si>
  <si>
    <t>P.003</t>
  </si>
  <si>
    <t>P.004</t>
  </si>
  <si>
    <t>P.005</t>
  </si>
  <si>
    <t>P.006</t>
  </si>
  <si>
    <t>P.007</t>
  </si>
  <si>
    <t>P.008</t>
  </si>
  <si>
    <t>P.009</t>
  </si>
  <si>
    <t>Indirect References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</si>
  <si>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</si>
  <si>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</si>
  <si>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from WS-F &amp; G</t>
  </si>
  <si>
    <t>Do NOT delete.</t>
  </si>
  <si>
    <r>
      <t xml:space="preserve">TRUE-UP Adjustment </t>
    </r>
    <r>
      <rPr>
        <sz val="10"/>
        <rFont val="Arial"/>
        <family val="2"/>
      </rPr>
      <t>(WS-G)</t>
    </r>
  </si>
  <si>
    <r>
      <t xml:space="preserve">Base ARR
</t>
    </r>
    <r>
      <rPr>
        <sz val="10"/>
        <rFont val="Arial"/>
        <family val="2"/>
      </rPr>
      <t>(WS-F)</t>
    </r>
  </si>
  <si>
    <t>COLLECTION Adjustment</t>
  </si>
  <si>
    <t>Incentive ARR</t>
  </si>
  <si>
    <t>(J)</t>
  </si>
  <si>
    <t>(L)</t>
  </si>
  <si>
    <t>(O)</t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</si>
  <si>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</si>
  <si>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</si>
  <si>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</si>
  <si>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</si>
  <si>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</si>
  <si>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PROJECTED Rev. Req't From Prior Year Template</t>
  </si>
  <si>
    <t>Catoosa 138 kV Device (Cap. Bank)</t>
  </si>
  <si>
    <t>Cache-Snyder to Altus Jct. 138 kV line (w/2 ring bus stations)</t>
  </si>
  <si>
    <t>WFEC New 138 kV Ties: Sayre to Erick (WFEC) Line &amp; Atoka and Tupelo station work</t>
  </si>
  <si>
    <t>Riverside-Glenpool (81-523) Reconductor</t>
  </si>
  <si>
    <t>Craig Jct. to Broken Bow Dam 138 Rebuild (7.7mi)</t>
  </si>
  <si>
    <t>TRUE-UP Rev. Req't.From Prior Year Template</t>
  </si>
  <si>
    <t xml:space="preserve"> Worksheet G</t>
  </si>
  <si>
    <r>
      <t xml:space="preserve">As Billed
by SPP
</t>
    </r>
    <r>
      <rPr>
        <sz val="10"/>
        <rFont val="Arial"/>
        <family val="2"/>
      </rPr>
      <t>(for Prior Yr
T-Service)</t>
    </r>
  </si>
  <si>
    <t>Elk City - Elk City 69 kV line (CT Upgrades)*</t>
  </si>
  <si>
    <t>Weleetka &amp; Okmulgee Wavetrap replacement 81-805*</t>
  </si>
  <si>
    <t>Tulsa Southeast Upgrade (repl switches)*</t>
  </si>
  <si>
    <t>*&lt;$100K investment</t>
  </si>
  <si>
    <t xml:space="preserve">∑ Prior Year True-Up  (WS-G)  </t>
  </si>
  <si>
    <t xml:space="preserve">∑ Prior Year Projected  (WS-F)  </t>
  </si>
  <si>
    <r>
      <t xml:space="preserve">Total Adjustments
</t>
    </r>
    <r>
      <rPr>
        <sz val="8"/>
        <rFont val="Arial"/>
        <family val="2"/>
      </rPr>
      <t>(True-Up, Billing, &amp; Interest)</t>
    </r>
  </si>
  <si>
    <t>TP2009011</t>
  </si>
  <si>
    <t>P.010</t>
  </si>
  <si>
    <t>Projected ADJUSTED ARR from Prior Update</t>
  </si>
  <si>
    <t>*</t>
  </si>
  <si>
    <t>column to left (Q).</t>
  </si>
  <si>
    <t>Investment (EOY)</t>
  </si>
  <si>
    <t>Worksheet G ---- DATA INPUT (Paste.Values) from main FR TEMPLATE PSO WS G</t>
  </si>
  <si>
    <t>TP2008079-PSO</t>
  </si>
  <si>
    <t>Bartlesville SE to Coffeyville T Rebuild</t>
  </si>
  <si>
    <t>P.011</t>
  </si>
  <si>
    <t xml:space="preserve">   Determine R  (cost of long term debt, cost of preferred stock and percent is from Projected TCOS, lns 147 through 149)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</si>
  <si>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</si>
  <si>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</si>
  <si>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</si>
  <si>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 xml:space="preserve">   Determine R  (cost of long term debt, cost of preferred stock and percent is from True-Up TCOS, lns 134 through 136)</t>
  </si>
  <si>
    <t>TP2009095-PSO</t>
  </si>
  <si>
    <t>Canadian River - McAlester City 138 kV Line Conversion</t>
  </si>
  <si>
    <t>P.012</t>
  </si>
  <si>
    <t>TP2008013</t>
  </si>
  <si>
    <t>P.013</t>
  </si>
  <si>
    <t>TP2009092</t>
  </si>
  <si>
    <t>Ashdown West - Craig Junction</t>
  </si>
  <si>
    <t>P.014</t>
  </si>
  <si>
    <t>NOTE:</t>
  </si>
  <si>
    <t>To INSERT a new project line item (row)</t>
  </si>
  <si>
    <t>1.   Insert blank row(s) for new project(s) between TOTAL row and existing last project row.</t>
  </si>
  <si>
    <t>2.  Copy entire contents of last project Row, then Paste into new blank row(s), again….leave 1 blank row to maintain summing formulas.</t>
  </si>
  <si>
    <t>0a.  Always maintain a blank row between TOTAL and last project (this maintains summing formulas in Totalization row.</t>
  </si>
  <si>
    <t>0b.   Always add and fill out new P.0xx Project Sheet(s) before inserting rows on this summary sheet.</t>
  </si>
  <si>
    <t>3.  In the SheetName column in this sheet…change the P.0xx type number(s) to match the corresponding newly added P.0xx sheets.</t>
  </si>
  <si>
    <t>WFEC DA Adjustment</t>
  </si>
  <si>
    <t>TP2009093</t>
  </si>
  <si>
    <t>Locust Grove to Lone Star 115 kV Rebuild 2.1 miles</t>
  </si>
  <si>
    <t>TP2011093</t>
  </si>
  <si>
    <t>Cornville Station Conversion</t>
  </si>
  <si>
    <t>P.015</t>
  </si>
  <si>
    <t>P.016</t>
  </si>
  <si>
    <t>Wavetrap Clinton City-Foss Tap 69kV Ckt 1*</t>
  </si>
  <si>
    <t>CoffeyvilleT to Dearing 138 kv Rebuild - 1.1 mi*</t>
  </si>
  <si>
    <t>Note:  Project's whose investment cost do NOT meet SPP's $100,000 threshold for 'regional' socialization are marked with an asterik "*" as SPP will only collect those ATRRs from the zone.</t>
  </si>
  <si>
    <t xml:space="preserve">  SPP Project ID = 649</t>
  </si>
  <si>
    <t xml:space="preserve">  SPP Project ID = 30346</t>
  </si>
  <si>
    <t>NOTE:  Original NTC indicates only 94% to be Base Plan.</t>
  </si>
  <si>
    <t>&lt;&lt; 2014-present ARR values based on 94% actual cost.  Yrs 2011-13 ARR values based on 100% actual cost (SPP scaled ARR data) &gt;&gt;</t>
  </si>
  <si>
    <t>Grady Customer Connection</t>
  </si>
  <si>
    <t>Darlington-Red Rock 138 kV line</t>
  </si>
  <si>
    <t>P.017</t>
  </si>
  <si>
    <t>P.018</t>
  </si>
  <si>
    <t>***Sch. 11 recovery commenced in 2015 rate year***</t>
  </si>
  <si>
    <t xml:space="preserve"> &lt;--- this value goes to sched 11 interest support file - line 17</t>
  </si>
  <si>
    <t>2013</t>
  </si>
  <si>
    <t>2014</t>
  </si>
  <si>
    <t>TP2012112</t>
  </si>
  <si>
    <t xml:space="preserve">***Sch. 11 recovery commenced in the 2015 rate year.  Beg Bal = to depreciated balance as of 1/1/15. *** </t>
  </si>
  <si>
    <t>P.019</t>
  </si>
  <si>
    <t>P.020</t>
  </si>
  <si>
    <t>P.021</t>
  </si>
  <si>
    <t>P.022</t>
  </si>
  <si>
    <t>Darlington-Roman Nose 138 kV</t>
  </si>
  <si>
    <t>Northeastern Station 138 kV Terminal Upgrades</t>
  </si>
  <si>
    <t>Valliant-NW Texarkana 345 kV</t>
  </si>
  <si>
    <t>Sayre 138 kV Capacitor Bank Addition</t>
  </si>
  <si>
    <t>&lt;==From Input on Worksheet A</t>
  </si>
  <si>
    <t>Current Projected Year ARR</t>
  </si>
  <si>
    <t>Current Projected Year ARR w/ Incentive</t>
  </si>
  <si>
    <t>Beg/Ending 
Average
Revenue</t>
  </si>
  <si>
    <t>Beg/Ending
Average
Revenue Req't.</t>
  </si>
  <si>
    <t xml:space="preserve">       Taxable Percentage of Revenue (22%)</t>
  </si>
  <si>
    <t xml:space="preserve">Worksheet F </t>
  </si>
  <si>
    <t>TP2013002</t>
  </si>
  <si>
    <t xml:space="preserve">  SPP Project ID = 30748</t>
  </si>
  <si>
    <t xml:space="preserve">  SPP Project ID = 770</t>
  </si>
  <si>
    <t xml:space="preserve">  SPP Project ID = 295</t>
  </si>
  <si>
    <t xml:space="preserve">  SPP Project ID = 767</t>
  </si>
  <si>
    <t>TP2009089</t>
  </si>
  <si>
    <t xml:space="preserve">  SPP Project ID = 936</t>
  </si>
  <si>
    <t>TP2015202</t>
  </si>
  <si>
    <t xml:space="preserve">  SPP Project ID = 30997</t>
  </si>
  <si>
    <t>TP2015027</t>
  </si>
  <si>
    <t xml:space="preserve">  SPP Project ID = 30619</t>
  </si>
  <si>
    <t>TP2015169</t>
  </si>
  <si>
    <t xml:space="preserve">  SPP Project ID = 31003</t>
  </si>
  <si>
    <t>Elk City 138KV Move Load</t>
  </si>
  <si>
    <t>TP2011110</t>
  </si>
  <si>
    <t xml:space="preserve">  SPP Project ID = 31005</t>
  </si>
  <si>
    <t>Duncan-Comanche Tap 69 KV Rebuild</t>
  </si>
  <si>
    <t>TP2015191</t>
  </si>
  <si>
    <t xml:space="preserve">  SPP Project ID = 31009</t>
  </si>
  <si>
    <t>P.023</t>
  </si>
  <si>
    <t>P.024</t>
  </si>
  <si>
    <t xml:space="preserve">   ROE w/o incentives  (True-Up TCOS, ln 135)</t>
  </si>
  <si>
    <t xml:space="preserve">   Tax Rate  (True-Up TCOS, ln 105)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</si>
  <si>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</si>
  <si>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</si>
  <si>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</si>
  <si>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</si>
  <si>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</si>
  <si>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</si>
  <si>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>Annual Depreciation Expense  (True-Up TCOS, ln 82)</t>
  </si>
  <si>
    <t>Fort Towson-Valliant Line Rebuild</t>
  </si>
  <si>
    <t>TP2015204</t>
  </si>
  <si>
    <t>P.025</t>
  </si>
  <si>
    <t>Transmission Plant Average Balance for 2018</t>
  </si>
  <si>
    <t xml:space="preserve">   Excess DFIT Adjustment  (TCOS, ln 109)</t>
  </si>
  <si>
    <t xml:space="preserve">   Tax Effect of Permanent and Flow Through Differences (TCOS, ln 110)</t>
  </si>
  <si>
    <t>21% &amp; 11.2 ROE</t>
  </si>
  <si>
    <t>35% &amp; 11.2 ROE</t>
  </si>
  <si>
    <t>E - F</t>
  </si>
  <si>
    <t xml:space="preserve">   Net Transmission Plant  (TCOS, ln 37)</t>
  </si>
  <si>
    <t>P.026</t>
  </si>
  <si>
    <t>P.027</t>
  </si>
  <si>
    <t>Tulsa Southeast - E. 61st St 138 kV Rebuild</t>
  </si>
  <si>
    <t>Broken Arrow North-Lynn Lane East 138 kV</t>
  </si>
  <si>
    <t>TP2017011</t>
  </si>
  <si>
    <t>TP2017016</t>
  </si>
  <si>
    <t>Keystone Dam - Wekiwa 138 kV</t>
  </si>
  <si>
    <t xml:space="preserve">  SPP Project ID = 41233</t>
  </si>
  <si>
    <t>P.028</t>
  </si>
  <si>
    <t>TP2015118</t>
  </si>
  <si>
    <t xml:space="preserve">  SPP Project ID = 30809</t>
  </si>
  <si>
    <t xml:space="preserve">  SPP Project ID = 41202</t>
  </si>
  <si>
    <t xml:space="preserve">  SPP Project ID = 31058</t>
  </si>
  <si>
    <t xml:space="preserve">  SPP Project ID = 30746</t>
  </si>
  <si>
    <t xml:space="preserve">  SPP Project ID = 446</t>
  </si>
  <si>
    <t xml:space="preserve">  SPP Project ID = 289</t>
  </si>
  <si>
    <t xml:space="preserve">  SPP Project ID = 46</t>
  </si>
  <si>
    <t xml:space="preserve">  SPP Project ID = 3</t>
  </si>
  <si>
    <t xml:space="preserve">  SPP Project ID = 118</t>
  </si>
  <si>
    <t xml:space="preserve">  SPP Project ID = 110</t>
  </si>
  <si>
    <t xml:space="preserve">  SPP Project ID = 30001</t>
  </si>
  <si>
    <t xml:space="preserve">  SPP Project ID = 106</t>
  </si>
  <si>
    <t xml:space="preserve">  SPP Project ID = 112</t>
  </si>
  <si>
    <t xml:space="preserve">  SPP Project ID = 230</t>
  </si>
  <si>
    <t xml:space="preserve">  SPP Project ID = 220</t>
  </si>
  <si>
    <t>Projected Year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</si>
  <si>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</si>
  <si>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</si>
  <si>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</si>
  <si>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</si>
  <si>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Tax Effect of Permanent and Flow Through Differences  (TCOS, ln 110)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</si>
  <si>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</si>
  <si>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</si>
  <si>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</si>
  <si>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</si>
  <si>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</si>
  <si>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 FCR less Depreciation  (TCOS, ln 10)</t>
  </si>
  <si>
    <t>Annual Depreciation Expense  (TCOS, ln 86)</t>
  </si>
  <si>
    <t>Pryor Junction 138/115 kV</t>
  </si>
  <si>
    <t>TP2019132</t>
  </si>
  <si>
    <t xml:space="preserve">  SPP Project ID = 81571</t>
  </si>
  <si>
    <t>Tulsa SE - E 21st St Tap 138 kV</t>
  </si>
  <si>
    <t>TP2020033</t>
  </si>
  <si>
    <t xml:space="preserve">  SPP Project ID = 81523</t>
  </si>
  <si>
    <t>Tulsa SE - S Hudson 138 kV</t>
  </si>
  <si>
    <t>TP20033002</t>
  </si>
  <si>
    <t xml:space="preserve">  SPP Project ID = 81520</t>
  </si>
  <si>
    <t>P.029</t>
  </si>
  <si>
    <t>P.030</t>
  </si>
  <si>
    <t>P.031</t>
  </si>
  <si>
    <t>Name check</t>
  </si>
  <si>
    <t>TP2021281</t>
  </si>
  <si>
    <t>TP2020266</t>
  </si>
  <si>
    <t>P.032</t>
  </si>
  <si>
    <t>P.033</t>
  </si>
  <si>
    <t xml:space="preserve">  SPP Project ID = 92114</t>
  </si>
  <si>
    <t xml:space="preserve">  SPP Project ID = 81717</t>
  </si>
  <si>
    <t>UID = 10279</t>
  </si>
  <si>
    <t>UID = 10295</t>
  </si>
  <si>
    <t>UID = 10139</t>
  </si>
  <si>
    <t>UID = 10130</t>
  </si>
  <si>
    <t>UID = 50001</t>
  </si>
  <si>
    <t>UID = 10137</t>
  </si>
  <si>
    <t>UID = 10148</t>
  </si>
  <si>
    <t>UID = 10003</t>
  </si>
  <si>
    <t>UID = 10050</t>
  </si>
  <si>
    <t>UID = 10375</t>
  </si>
  <si>
    <t>UID = 10578</t>
  </si>
  <si>
    <t>UID = 11011</t>
  </si>
  <si>
    <t>UID = 10381</t>
  </si>
  <si>
    <t>UID = 11015</t>
  </si>
  <si>
    <t>UID = 10853</t>
  </si>
  <si>
    <t>UID = 51015</t>
  </si>
  <si>
    <t>UID = 50438</t>
  </si>
  <si>
    <t>UID = 51013</t>
  </si>
  <si>
    <t>UID = 11236</t>
  </si>
  <si>
    <t>UID = 51433</t>
  </si>
  <si>
    <t>UID = 50802</t>
  </si>
  <si>
    <t>UID = 51446</t>
  </si>
  <si>
    <t>UID = 51448</t>
  </si>
  <si>
    <t>UID = 51454</t>
  </si>
  <si>
    <t>UID = 51562</t>
  </si>
  <si>
    <t>UID = 61858</t>
  </si>
  <si>
    <t>UID = 71945</t>
  </si>
  <si>
    <t>UID = 51096</t>
  </si>
  <si>
    <t>UID = 112389</t>
  </si>
  <si>
    <t>UID = 112393</t>
  </si>
  <si>
    <t>UID = 112488</t>
  </si>
  <si>
    <t>UID = 143591</t>
  </si>
  <si>
    <t>UID = 122796</t>
  </si>
  <si>
    <t>Sooner - Wekiwqa 345 kV Terminal Upgrades</t>
  </si>
  <si>
    <t>TP2019146</t>
  </si>
  <si>
    <t>Line - Osage - Webb City Tap - Shidler 138 kV Rebuild</t>
  </si>
  <si>
    <t>P.034</t>
  </si>
  <si>
    <t>P.035</t>
  </si>
  <si>
    <t>Transmission Plant Average Balance for 2025 (WS A-1 Ln 14 Col (d))</t>
  </si>
  <si>
    <t>True-Up ARR CY 2024 From Worksheet G  (includes adjustment for SPP Collections)</t>
  </si>
  <si>
    <t>Riverside Station 138 kV Breakers</t>
  </si>
  <si>
    <t>TA2020138</t>
  </si>
  <si>
    <t>TP2019245</t>
  </si>
  <si>
    <t>TP2024005</t>
  </si>
  <si>
    <t>Tulsa N-Pine &amp; Peoria 138 Rebu</t>
  </si>
  <si>
    <t>P.036</t>
  </si>
  <si>
    <t>P.037</t>
  </si>
  <si>
    <t>Riverside-Glenpool (TP2006087)</t>
  </si>
  <si>
    <t>Craig Jct-Broken Bow (TP2007059)</t>
  </si>
  <si>
    <t>WFEC new ties (TP2006054)</t>
  </si>
  <si>
    <t>Cache-Snyder (TP2004147)</t>
  </si>
  <si>
    <t>Catoosa 138 kV Device</t>
  </si>
  <si>
    <t>Pryor Jct 138/60 Upgrade autoxfmr  (TP2006090)</t>
  </si>
  <si>
    <t>Elk City-Elk City 69 CT upgrades (TP2007015)</t>
  </si>
  <si>
    <t>Weleetka &amp; Okmulgee wavetrap r&amp;r 81-805 (TP2005046)</t>
  </si>
  <si>
    <t>Tulsa SE r&amp;r switches (TP2004033)</t>
  </si>
  <si>
    <t>Clinton City-Foss 69 wavetrap r&amp;r (TP2009011)</t>
  </si>
  <si>
    <t>Bartlesville SE to Coffeyville T Rebuild (TP2008079-PSO)</t>
  </si>
  <si>
    <t>Canadian River - McAlester City 138 kV Line Conversion (TP2009095)</t>
  </si>
  <si>
    <t>CoffeyvilleT to Dearing 138 kv Rebuild - 1.1 mi (TP2008013)</t>
  </si>
  <si>
    <t>Ashdown West - Craig Junction 138KV Rebuild (TP2009092)</t>
  </si>
  <si>
    <t>Locust Grove to Lone Star 115 kV Rebuild 2.1 miles (TP2009093)</t>
  </si>
  <si>
    <t>Cornville Station Conversion (TP2011093)</t>
  </si>
  <si>
    <t>Elk City 138 kV Move Load</t>
  </si>
  <si>
    <t>Duncan-Comanche Tap 69 kV Rebuild and Duncan station upgrades</t>
  </si>
  <si>
    <t>Tulsa Southeast-E.61st 138 kV Rebuild</t>
  </si>
  <si>
    <t>Catoosa-Blue Circle rebuild</t>
  </si>
  <si>
    <t>Chisholm Substation 345 kV Terminal Upgrades</t>
  </si>
  <si>
    <t>tch the 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</si>
</sst>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_);_(* \(#,##0.00000\);_(* &quot;-&quot;??_);_(@_)"/>
    <numFmt numFmtId="175" formatCode="_(&quot;$&quot;* #,##0.0000000_);_(&quot;$&quot;* \(#,##0.0000000\);_(&quot;$&quot;* &quot;-&quot;??_);_(@_)"/>
    <numFmt numFmtId="176" formatCode="_(* #,##0.0000000000_);_(* \(#,##0.0000000000\);_(* &quot;-&quot;??_);_(@_)"/>
    <numFmt numFmtId="177" formatCode="_(* #,##0.000000_);_(* \(#,##0.000000\);_(* &quot;-&quot;??_);_(@_)"/>
    <numFmt numFmtId="178" formatCode="&quot;$&quot;#,##0\ ;\(&quot;$&quot;#,##0\)"/>
    <numFmt numFmtId="179" formatCode="_(* #,##0.0,_);_(* \(#,##0.0,\);_(* &quot;-   &quot;_);_(@_)"/>
    <numFmt numFmtId="180" formatCode="0.0000%"/>
    <numFmt numFmtId="181" formatCode="_(* #,##0.000_);_(* \(#,##0.000\);_(* &quot;-&quot;??_);_(@_)"/>
  </numFmts>
  <fonts count="123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35">
    <xf numFmtId="0" fontId="0" fillId="0" borderId="0"/>
    <xf numFmtId="0" fontId="2" fillId="2" borderId="0" applyNumberFormat="0" applyBorder="0" applyAlignment="0" applyProtection="0"/>
    <xf numFmtId="0" fontId="104" fillId="30" borderId="0" applyNumberFormat="0" applyBorder="0" applyAlignment="0" applyProtection="0"/>
    <xf numFmtId="0" fontId="81" fillId="2" borderId="0" applyNumberFormat="0" applyBorder="0" applyAlignment="0" applyProtection="0"/>
    <xf numFmtId="0" fontId="2" fillId="3" borderId="0" applyNumberFormat="0" applyBorder="0" applyAlignment="0" applyProtection="0"/>
    <xf numFmtId="0" fontId="104" fillId="31" borderId="0" applyNumberFormat="0" applyBorder="0" applyAlignment="0" applyProtection="0"/>
    <xf numFmtId="0" fontId="81" fillId="3" borderId="0" applyNumberFormat="0" applyBorder="0" applyAlignment="0" applyProtection="0"/>
    <xf numFmtId="0" fontId="2" fillId="4" borderId="0" applyNumberFormat="0" applyBorder="0" applyAlignment="0" applyProtection="0"/>
    <xf numFmtId="0" fontId="104" fillId="32" borderId="0" applyNumberFormat="0" applyBorder="0" applyAlignment="0" applyProtection="0"/>
    <xf numFmtId="0" fontId="81" fillId="4" borderId="0" applyNumberFormat="0" applyBorder="0" applyAlignment="0" applyProtection="0"/>
    <xf numFmtId="0" fontId="2" fillId="5" borderId="0" applyNumberFormat="0" applyBorder="0" applyAlignment="0" applyProtection="0"/>
    <xf numFmtId="0" fontId="104" fillId="33" borderId="0" applyNumberFormat="0" applyBorder="0" applyAlignment="0" applyProtection="0"/>
    <xf numFmtId="0" fontId="81" fillId="5" borderId="0" applyNumberFormat="0" applyBorder="0" applyAlignment="0" applyProtection="0"/>
    <xf numFmtId="0" fontId="2" fillId="6" borderId="0" applyNumberFormat="0" applyBorder="0" applyAlignment="0" applyProtection="0"/>
    <xf numFmtId="0" fontId="104" fillId="34" borderId="0" applyNumberFormat="0" applyBorder="0" applyAlignment="0" applyProtection="0"/>
    <xf numFmtId="0" fontId="81" fillId="6" borderId="0" applyNumberFormat="0" applyBorder="0" applyAlignment="0" applyProtection="0"/>
    <xf numFmtId="0" fontId="2" fillId="7" borderId="0" applyNumberFormat="0" applyBorder="0" applyAlignment="0" applyProtection="0"/>
    <xf numFmtId="0" fontId="104" fillId="35" borderId="0" applyNumberFormat="0" applyBorder="0" applyAlignment="0" applyProtection="0"/>
    <xf numFmtId="0" fontId="81" fillId="7" borderId="0" applyNumberFormat="0" applyBorder="0" applyAlignment="0" applyProtection="0"/>
    <xf numFmtId="0" fontId="2" fillId="8" borderId="0" applyNumberFormat="0" applyBorder="0" applyAlignment="0" applyProtection="0"/>
    <xf numFmtId="0" fontId="104" fillId="36" borderId="0" applyNumberFormat="0" applyBorder="0" applyAlignment="0" applyProtection="0"/>
    <xf numFmtId="0" fontId="81" fillId="8" borderId="0" applyNumberFormat="0" applyBorder="0" applyAlignment="0" applyProtection="0"/>
    <xf numFmtId="0" fontId="2" fillId="9" borderId="0" applyNumberFormat="0" applyBorder="0" applyAlignment="0" applyProtection="0"/>
    <xf numFmtId="0" fontId="104" fillId="37" borderId="0" applyNumberFormat="0" applyBorder="0" applyAlignment="0" applyProtection="0"/>
    <xf numFmtId="0" fontId="81" fillId="9" borderId="0" applyNumberFormat="0" applyBorder="0" applyAlignment="0" applyProtection="0"/>
    <xf numFmtId="0" fontId="2" fillId="10" borderId="0" applyNumberFormat="0" applyBorder="0" applyAlignment="0" applyProtection="0"/>
    <xf numFmtId="0" fontId="104" fillId="38" borderId="0" applyNumberFormat="0" applyBorder="0" applyAlignment="0" applyProtection="0"/>
    <xf numFmtId="0" fontId="81" fillId="10" borderId="0" applyNumberFormat="0" applyBorder="0" applyAlignment="0" applyProtection="0"/>
    <xf numFmtId="0" fontId="2" fillId="5" borderId="0" applyNumberFormat="0" applyBorder="0" applyAlignment="0" applyProtection="0"/>
    <xf numFmtId="0" fontId="104" fillId="39" borderId="0" applyNumberFormat="0" applyBorder="0" applyAlignment="0" applyProtection="0"/>
    <xf numFmtId="0" fontId="81" fillId="5" borderId="0" applyNumberFormat="0" applyBorder="0" applyAlignment="0" applyProtection="0"/>
    <xf numFmtId="0" fontId="2" fillId="8" borderId="0" applyNumberFormat="0" applyBorder="0" applyAlignment="0" applyProtection="0"/>
    <xf numFmtId="0" fontId="104" fillId="40" borderId="0" applyNumberFormat="0" applyBorder="0" applyAlignment="0" applyProtection="0"/>
    <xf numFmtId="0" fontId="81" fillId="8" borderId="0" applyNumberFormat="0" applyBorder="0" applyAlignment="0" applyProtection="0"/>
    <xf numFmtId="0" fontId="2" fillId="11" borderId="0" applyNumberFormat="0" applyBorder="0" applyAlignment="0" applyProtection="0"/>
    <xf numFmtId="0" fontId="104" fillId="41" borderId="0" applyNumberFormat="0" applyBorder="0" applyAlignment="0" applyProtection="0"/>
    <xf numFmtId="0" fontId="81" fillId="11" borderId="0" applyNumberFormat="0" applyBorder="0" applyAlignment="0" applyProtection="0"/>
    <xf numFmtId="0" fontId="3" fillId="12" borderId="0" applyNumberFormat="0" applyBorder="0" applyAlignment="0" applyProtection="0"/>
    <xf numFmtId="0" fontId="105" fillId="42" borderId="0" applyNumberFormat="0" applyBorder="0" applyAlignment="0" applyProtection="0"/>
    <xf numFmtId="0" fontId="87" fillId="12" borderId="0" applyNumberFormat="0" applyBorder="0" applyAlignment="0" applyProtection="0"/>
    <xf numFmtId="0" fontId="3" fillId="9" borderId="0" applyNumberFormat="0" applyBorder="0" applyAlignment="0" applyProtection="0"/>
    <xf numFmtId="0" fontId="105" fillId="43" borderId="0" applyNumberFormat="0" applyBorder="0" applyAlignment="0" applyProtection="0"/>
    <xf numFmtId="0" fontId="87" fillId="9" borderId="0" applyNumberFormat="0" applyBorder="0" applyAlignment="0" applyProtection="0"/>
    <xf numFmtId="0" fontId="3" fillId="10" borderId="0" applyNumberFormat="0" applyBorder="0" applyAlignment="0" applyProtection="0"/>
    <xf numFmtId="0" fontId="105" fillId="44" borderId="0" applyNumberFormat="0" applyBorder="0" applyAlignment="0" applyProtection="0"/>
    <xf numFmtId="0" fontId="87" fillId="10" borderId="0" applyNumberFormat="0" applyBorder="0" applyAlignment="0" applyProtection="0"/>
    <xf numFmtId="0" fontId="3" fillId="13" borderId="0" applyNumberFormat="0" applyBorder="0" applyAlignment="0" applyProtection="0"/>
    <xf numFmtId="0" fontId="105" fillId="45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46" borderId="0" applyNumberFormat="0" applyBorder="0" applyAlignment="0" applyProtection="0"/>
    <xf numFmtId="0" fontId="87" fillId="14" borderId="0" applyNumberFormat="0" applyBorder="0" applyAlignment="0" applyProtection="0"/>
    <xf numFmtId="0" fontId="3" fillId="15" borderId="0" applyNumberFormat="0" applyBorder="0" applyAlignment="0" applyProtection="0"/>
    <xf numFmtId="0" fontId="105" fillId="47" borderId="0" applyNumberFormat="0" applyBorder="0" applyAlignment="0" applyProtection="0"/>
    <xf numFmtId="0" fontId="87" fillId="15" borderId="0" applyNumberFormat="0" applyBorder="0" applyAlignment="0" applyProtection="0"/>
    <xf numFmtId="0" fontId="3" fillId="16" borderId="0" applyNumberFormat="0" applyBorder="0" applyAlignment="0" applyProtection="0"/>
    <xf numFmtId="0" fontId="105" fillId="48" borderId="0" applyNumberFormat="0" applyBorder="0" applyAlignment="0" applyProtection="0"/>
    <xf numFmtId="0" fontId="87" fillId="16" borderId="0" applyNumberFormat="0" applyBorder="0" applyAlignment="0" applyProtection="0"/>
    <xf numFmtId="0" fontId="3" fillId="17" borderId="0" applyNumberFormat="0" applyBorder="0" applyAlignment="0" applyProtection="0"/>
    <xf numFmtId="0" fontId="105" fillId="49" borderId="0" applyNumberFormat="0" applyBorder="0" applyAlignment="0" applyProtection="0"/>
    <xf numFmtId="0" fontId="87" fillId="17" borderId="0" applyNumberFormat="0" applyBorder="0" applyAlignment="0" applyProtection="0"/>
    <xf numFmtId="0" fontId="3" fillId="18" borderId="0" applyNumberFormat="0" applyBorder="0" applyAlignment="0" applyProtection="0"/>
    <xf numFmtId="0" fontId="105" fillId="50" borderId="0" applyNumberFormat="0" applyBorder="0" applyAlignment="0" applyProtection="0"/>
    <xf numFmtId="0" fontId="87" fillId="18" borderId="0" applyNumberFormat="0" applyBorder="0" applyAlignment="0" applyProtection="0"/>
    <xf numFmtId="0" fontId="3" fillId="13" borderId="0" applyNumberFormat="0" applyBorder="0" applyAlignment="0" applyProtection="0"/>
    <xf numFmtId="0" fontId="105" fillId="51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52" borderId="0" applyNumberFormat="0" applyBorder="0" applyAlignment="0" applyProtection="0"/>
    <xf numFmtId="0" fontId="87" fillId="14" borderId="0" applyNumberFormat="0" applyBorder="0" applyAlignment="0" applyProtection="0"/>
    <xf numFmtId="0" fontId="3" fillId="19" borderId="0" applyNumberFormat="0" applyBorder="0" applyAlignment="0" applyProtection="0"/>
    <xf numFmtId="0" fontId="105" fillId="53" borderId="0" applyNumberFormat="0" applyBorder="0" applyAlignment="0" applyProtection="0"/>
    <xf numFmtId="0" fontId="87" fillId="19" borderId="0" applyNumberFormat="0" applyBorder="0" applyAlignment="0" applyProtection="0"/>
    <xf numFmtId="0" fontId="4" fillId="3" borderId="0" applyNumberFormat="0" applyBorder="0" applyAlignment="0" applyProtection="0"/>
    <xf numFmtId="0" fontId="106" fillId="54" borderId="0" applyNumberFormat="0" applyBorder="0" applyAlignment="0" applyProtection="0"/>
    <xf numFmtId="0" fontId="88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7" fillId="55" borderId="48" applyNumberFormat="0" applyAlignment="0" applyProtection="0"/>
    <xf numFmtId="0" fontId="89" fillId="20" borderId="3" applyNumberFormat="0" applyAlignment="0" applyProtection="0"/>
    <xf numFmtId="0" fontId="23" fillId="21" borderId="4" applyNumberFormat="0" applyAlignment="0" applyProtection="0"/>
    <xf numFmtId="0" fontId="108" fillId="56" borderId="49" applyNumberFormat="0" applyAlignment="0" applyProtection="0"/>
    <xf numFmtId="0" fontId="90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9" fillId="0" borderId="0" applyFont="0" applyFill="0" applyBorder="0" applyAlignment="0" applyProtection="0"/>
    <xf numFmtId="178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0" fontId="25" fillId="4" borderId="0" applyNumberFormat="0" applyBorder="0" applyAlignment="0" applyProtection="0"/>
    <xf numFmtId="0" fontId="110" fillId="57" borderId="0" applyNumberFormat="0" applyBorder="0" applyAlignment="0" applyProtection="0"/>
    <xf numFmtId="0" fontId="92" fillId="4" borderId="0" applyNumberFormat="0" applyBorder="0" applyAlignment="0" applyProtection="0"/>
    <xf numFmtId="0" fontId="26" fillId="0" borderId="0" applyFont="0" applyFill="0" applyBorder="0" applyAlignment="0" applyProtection="0"/>
    <xf numFmtId="0" fontId="111" fillId="0" borderId="5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2" fillId="0" borderId="51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3" fillId="0" borderId="52" applyNumberFormat="0" applyFill="0" applyAlignment="0" applyProtection="0"/>
    <xf numFmtId="0" fontId="93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4" fillId="58" borderId="48" applyNumberFormat="0" applyAlignment="0" applyProtection="0"/>
    <xf numFmtId="0" fontId="94" fillId="7" borderId="3" applyNumberFormat="0" applyAlignment="0" applyProtection="0"/>
    <xf numFmtId="0" fontId="31" fillId="0" borderId="7" applyNumberFormat="0" applyFill="0" applyAlignment="0" applyProtection="0"/>
    <xf numFmtId="0" fontId="115" fillId="0" borderId="53" applyNumberFormat="0" applyFill="0" applyAlignment="0" applyProtection="0"/>
    <xf numFmtId="0" fontId="95" fillId="0" borderId="7" applyNumberFormat="0" applyFill="0" applyAlignment="0" applyProtection="0"/>
    <xf numFmtId="179" fontId="80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32" fillId="22" borderId="0" applyNumberFormat="0" applyBorder="0" applyAlignment="0" applyProtection="0"/>
    <xf numFmtId="0" fontId="116" fillId="59" borderId="0" applyNumberFormat="0" applyBorder="0" applyAlignment="0" applyProtection="0"/>
    <xf numFmtId="0" fontId="96" fillId="22" borderId="0" applyNumberFormat="0" applyBorder="0" applyAlignment="0" applyProtection="0"/>
    <xf numFmtId="0" fontId="104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103" fillId="0" borderId="0"/>
    <xf numFmtId="0" fontId="103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04" fillId="0" borderId="0"/>
    <xf numFmtId="0" fontId="35" fillId="0" borderId="0"/>
    <xf numFmtId="0" fontId="104" fillId="0" borderId="0"/>
    <xf numFmtId="0" fontId="7" fillId="0" borderId="0"/>
    <xf numFmtId="0" fontId="7" fillId="0" borderId="0"/>
    <xf numFmtId="0" fontId="104" fillId="0" borderId="0"/>
    <xf numFmtId="0" fontId="35" fillId="0" borderId="0"/>
    <xf numFmtId="0" fontId="104" fillId="0" borderId="0"/>
    <xf numFmtId="0" fontId="35" fillId="0" borderId="0"/>
    <xf numFmtId="169" fontId="33" fillId="0" borderId="0" applyProtection="0"/>
    <xf numFmtId="0" fontId="33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34" fillId="20" borderId="9" applyNumberFormat="0" applyAlignment="0" applyProtection="0"/>
    <xf numFmtId="0" fontId="117" fillId="55" borderId="55" applyNumberFormat="0" applyAlignment="0" applyProtection="0"/>
    <xf numFmtId="0" fontId="97" fillId="20" borderId="9" applyNumberFormat="0" applyAlignment="0" applyProtection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9" fillId="0" borderId="56" applyNumberForma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49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17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549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46" fillId="0" borderId="0" xfId="0" applyFont="1" applyAlignment="1">
      <alignment horizontal="right"/>
    </xf>
    <xf numFmtId="170" fontId="7" fillId="0" borderId="0" xfId="117" applyNumberFormat="1" applyFont="1" applyBorder="1"/>
    <xf numFmtId="0" fontId="39" fillId="0" borderId="0" xfId="0" applyFont="1" applyAlignment="1">
      <alignment horizontal="left"/>
    </xf>
    <xf numFmtId="0" fontId="51" fillId="27" borderId="0" xfId="117" applyNumberFormat="1" applyFont="1" applyFill="1" applyAlignment="1">
      <alignment horizontal="left"/>
    </xf>
    <xf numFmtId="0" fontId="39" fillId="0" borderId="17" xfId="0" applyFont="1" applyBorder="1"/>
    <xf numFmtId="0" fontId="39" fillId="0" borderId="18" xfId="0" applyFont="1" applyBorder="1"/>
    <xf numFmtId="0" fontId="7" fillId="0" borderId="18" xfId="0" applyFont="1" applyBorder="1"/>
    <xf numFmtId="170" fontId="39" fillId="0" borderId="19" xfId="117" applyNumberFormat="1" applyFont="1" applyBorder="1"/>
    <xf numFmtId="0" fontId="14" fillId="0" borderId="0" xfId="117" applyNumberFormat="1" applyFont="1" applyFill="1" applyAlignment="1">
      <alignment horizontal="left"/>
    </xf>
    <xf numFmtId="0" fontId="14" fillId="0" borderId="0" xfId="117" applyNumberFormat="1" applyFont="1" applyFill="1" applyBorder="1" applyAlignment="1">
      <alignment horizontal="left"/>
    </xf>
    <xf numFmtId="0" fontId="39" fillId="0" borderId="13" xfId="0" applyFont="1" applyBorder="1"/>
    <xf numFmtId="0" fontId="9" fillId="0" borderId="0" xfId="117" applyNumberFormat="1" applyFont="1" applyFill="1" applyBorder="1" applyAlignment="1">
      <alignment horizontal="left"/>
    </xf>
    <xf numFmtId="170" fontId="39" fillId="0" borderId="20" xfId="117" applyNumberFormat="1" applyFont="1" applyBorder="1"/>
    <xf numFmtId="0" fontId="39" fillId="0" borderId="0" xfId="0" applyFont="1"/>
    <xf numFmtId="170" fontId="39" fillId="0" borderId="15" xfId="117" applyNumberFormat="1" applyFont="1" applyBorder="1"/>
    <xf numFmtId="170" fontId="7" fillId="0" borderId="6" xfId="117" applyNumberFormat="1" applyFont="1" applyBorder="1"/>
    <xf numFmtId="170" fontId="7" fillId="0" borderId="16" xfId="117" applyNumberFormat="1" applyFont="1" applyBorder="1"/>
    <xf numFmtId="0" fontId="53" fillId="0" borderId="0" xfId="0" applyFont="1"/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0" xfId="0" applyFont="1" applyAlignment="1">
      <alignment horizontal="center"/>
    </xf>
    <xf numFmtId="170" fontId="54" fillId="27" borderId="14" xfId="117" applyNumberFormat="1" applyFont="1" applyFill="1" applyBorder="1" applyAlignment="1">
      <alignment horizontal="right"/>
    </xf>
    <xf numFmtId="0" fontId="39" fillId="0" borderId="19" xfId="0" applyFont="1" applyBorder="1" applyAlignment="1">
      <alignment horizontal="center"/>
    </xf>
    <xf numFmtId="0" fontId="7" fillId="0" borderId="13" xfId="0" applyFont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17" applyNumberFormat="1" applyFont="1" applyBorder="1"/>
    <xf numFmtId="0" fontId="39" fillId="0" borderId="24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 wrapText="1"/>
    </xf>
    <xf numFmtId="0" fontId="39" fillId="0" borderId="26" xfId="0" applyFont="1" applyBorder="1" applyAlignment="1">
      <alignment horizontal="center"/>
    </xf>
    <xf numFmtId="170" fontId="39" fillId="0" borderId="16" xfId="117" applyNumberFormat="1" applyFont="1" applyBorder="1" applyAlignment="1">
      <alignment horizontal="center"/>
    </xf>
    <xf numFmtId="170" fontId="39" fillId="0" borderId="26" xfId="117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70" fontId="7" fillId="0" borderId="24" xfId="117" applyNumberFormat="1" applyFont="1" applyBorder="1"/>
    <xf numFmtId="171" fontId="7" fillId="0" borderId="14" xfId="0" applyNumberFormat="1" applyFont="1" applyBorder="1"/>
    <xf numFmtId="171" fontId="7" fillId="0" borderId="24" xfId="0" applyNumberFormat="1" applyFont="1" applyBorder="1"/>
    <xf numFmtId="171" fontId="7" fillId="0" borderId="25" xfId="0" applyNumberFormat="1" applyFont="1" applyBorder="1"/>
    <xf numFmtId="170" fontId="7" fillId="0" borderId="25" xfId="0" applyNumberFormat="1" applyFont="1" applyBorder="1"/>
    <xf numFmtId="170" fontId="1" fillId="0" borderId="25" xfId="117" applyNumberFormat="1" applyBorder="1"/>
    <xf numFmtId="170" fontId="7" fillId="0" borderId="25" xfId="117" applyNumberFormat="1" applyFont="1" applyBorder="1"/>
    <xf numFmtId="0" fontId="7" fillId="0" borderId="26" xfId="0" applyFont="1" applyBorder="1" applyAlignment="1">
      <alignment horizontal="center"/>
    </xf>
    <xf numFmtId="170" fontId="7" fillId="0" borderId="26" xfId="0" applyNumberFormat="1" applyFont="1" applyBorder="1"/>
    <xf numFmtId="170" fontId="1" fillId="0" borderId="26" xfId="117" applyNumberFormat="1" applyBorder="1"/>
    <xf numFmtId="171" fontId="7" fillId="0" borderId="16" xfId="0" applyNumberFormat="1" applyFont="1" applyBorder="1"/>
    <xf numFmtId="171" fontId="7" fillId="0" borderId="26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17" applyNumberFormat="1" applyFont="1" applyBorder="1"/>
    <xf numFmtId="170" fontId="7" fillId="0" borderId="14" xfId="0" applyNumberFormat="1" applyFont="1" applyBorder="1"/>
    <xf numFmtId="170" fontId="39" fillId="0" borderId="11" xfId="117" applyNumberFormat="1" applyFont="1" applyBorder="1"/>
    <xf numFmtId="170" fontId="7" fillId="0" borderId="20" xfId="0" applyNumberFormat="1" applyFont="1" applyBorder="1"/>
    <xf numFmtId="0" fontId="7" fillId="0" borderId="15" xfId="0" applyFont="1" applyBorder="1"/>
    <xf numFmtId="170" fontId="39" fillId="0" borderId="6" xfId="117" applyNumberFormat="1" applyFont="1" applyFill="1" applyBorder="1" applyAlignment="1">
      <alignment horizontal="left"/>
    </xf>
    <xf numFmtId="170" fontId="39" fillId="0" borderId="16" xfId="117" applyNumberFormat="1" applyFont="1" applyFill="1" applyBorder="1" applyAlignment="1">
      <alignment horizontal="left"/>
    </xf>
    <xf numFmtId="0" fontId="7" fillId="0" borderId="21" xfId="0" applyFont="1" applyBorder="1" applyAlignment="1">
      <alignment horizontal="center"/>
    </xf>
    <xf numFmtId="0" fontId="0" fillId="0" borderId="22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4" xfId="0" applyFont="1" applyBorder="1" applyAlignment="1">
      <alignment horizontal="center" wrapText="1"/>
    </xf>
    <xf numFmtId="170" fontId="39" fillId="0" borderId="0" xfId="117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4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17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2" xfId="0" applyFont="1" applyBorder="1"/>
    <xf numFmtId="0" fontId="61" fillId="28" borderId="22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68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0" fontId="46" fillId="0" borderId="0" xfId="0" quotePrefix="1" applyFont="1" applyAlignment="1">
      <alignment horizontal="right"/>
    </xf>
    <xf numFmtId="0" fontId="39" fillId="0" borderId="28" xfId="0" applyFont="1" applyBorder="1" applyAlignment="1">
      <alignment horizontal="center"/>
    </xf>
    <xf numFmtId="169" fontId="7" fillId="0" borderId="29" xfId="549" applyFont="1" applyBorder="1" applyAlignment="1" applyProtection="1">
      <alignment horizontal="center"/>
      <protection locked="0"/>
    </xf>
    <xf numFmtId="169" fontId="7" fillId="0" borderId="29" xfId="549" quotePrefix="1" applyFont="1" applyBorder="1" applyAlignment="1" applyProtection="1">
      <alignment horizontal="center"/>
      <protection locked="0"/>
    </xf>
    <xf numFmtId="3" fontId="7" fillId="0" borderId="30" xfId="549" applyNumberFormat="1" applyFont="1" applyBorder="1" applyAlignment="1" applyProtection="1">
      <alignment horizontal="center"/>
      <protection locked="0"/>
    </xf>
    <xf numFmtId="0" fontId="55" fillId="0" borderId="24" xfId="0" applyFont="1" applyBorder="1"/>
    <xf numFmtId="170" fontId="7" fillId="0" borderId="13" xfId="117" quotePrefix="1" applyNumberFormat="1" applyFont="1" applyBorder="1" applyAlignment="1">
      <alignment horizontal="right"/>
    </xf>
    <xf numFmtId="0" fontId="57" fillId="0" borderId="31" xfId="117" applyNumberFormat="1" applyFont="1" applyFill="1" applyBorder="1" applyAlignment="1">
      <alignment horizontal="left"/>
    </xf>
    <xf numFmtId="170" fontId="7" fillId="0" borderId="32" xfId="117" quotePrefix="1" applyNumberFormat="1" applyFont="1" applyBorder="1" applyAlignment="1">
      <alignment horizontal="right"/>
    </xf>
    <xf numFmtId="170" fontId="55" fillId="0" borderId="26" xfId="117" applyNumberFormat="1" applyFont="1" applyBorder="1"/>
    <xf numFmtId="0" fontId="7" fillId="0" borderId="15" xfId="0" quotePrefix="1" applyFont="1" applyBorder="1" applyAlignment="1">
      <alignment horizontal="right"/>
    </xf>
    <xf numFmtId="170" fontId="39" fillId="27" borderId="26" xfId="117" applyNumberFormat="1" applyFont="1" applyFill="1" applyBorder="1" applyAlignment="1">
      <alignment horizontal="center"/>
    </xf>
    <xf numFmtId="170" fontId="39" fillId="27" borderId="16" xfId="117" applyNumberFormat="1" applyFont="1" applyFill="1" applyBorder="1" applyAlignment="1">
      <alignment horizontal="center"/>
    </xf>
    <xf numFmtId="170" fontId="54" fillId="0" borderId="25" xfId="117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54" fillId="27" borderId="26" xfId="0" applyNumberFormat="1" applyFont="1" applyFill="1" applyBorder="1"/>
    <xf numFmtId="171" fontId="54" fillId="0" borderId="24" xfId="0" applyNumberFormat="1" applyFont="1" applyBorder="1"/>
    <xf numFmtId="170" fontId="39" fillId="0" borderId="24" xfId="117" quotePrefix="1" applyNumberFormat="1" applyFont="1" applyBorder="1" applyAlignment="1">
      <alignment horizontal="center" wrapText="1"/>
    </xf>
    <xf numFmtId="170" fontId="39" fillId="0" borderId="24" xfId="117" applyNumberFormat="1" applyFont="1" applyFill="1" applyBorder="1" applyAlignment="1">
      <alignment horizontal="center" wrapText="1"/>
    </xf>
    <xf numFmtId="170" fontId="39" fillId="0" borderId="26" xfId="117" applyNumberFormat="1" applyFont="1" applyFill="1" applyBorder="1" applyAlignment="1">
      <alignment horizontal="center"/>
    </xf>
    <xf numFmtId="170" fontId="39" fillId="0" borderId="15" xfId="117" applyNumberFormat="1" applyFont="1" applyFill="1" applyBorder="1" applyAlignment="1">
      <alignment horizontal="center"/>
    </xf>
    <xf numFmtId="170" fontId="54" fillId="0" borderId="14" xfId="117" applyNumberFormat="1" applyFont="1" applyFill="1" applyBorder="1"/>
    <xf numFmtId="170" fontId="54" fillId="0" borderId="26" xfId="117" applyNumberFormat="1" applyFont="1" applyFill="1" applyBorder="1"/>
    <xf numFmtId="170" fontId="54" fillId="0" borderId="16" xfId="117" applyNumberFormat="1" applyFont="1" applyFill="1" applyBorder="1"/>
    <xf numFmtId="170" fontId="39" fillId="27" borderId="19" xfId="117" quotePrefix="1" applyNumberFormat="1" applyFont="1" applyFill="1" applyBorder="1" applyAlignment="1">
      <alignment horizontal="center" wrapText="1"/>
    </xf>
    <xf numFmtId="170" fontId="39" fillId="0" borderId="19" xfId="117" quotePrefix="1" applyNumberFormat="1" applyFont="1" applyBorder="1" applyAlignment="1">
      <alignment horizontal="center" wrapText="1"/>
    </xf>
    <xf numFmtId="170" fontId="39" fillId="27" borderId="24" xfId="117" quotePrefix="1" applyNumberFormat="1" applyFont="1" applyFill="1" applyBorder="1" applyAlignment="1">
      <alignment horizontal="center" wrapText="1"/>
    </xf>
    <xf numFmtId="0" fontId="7" fillId="0" borderId="13" xfId="0" quotePrefix="1" applyFont="1" applyBorder="1" applyAlignment="1">
      <alignment horizontal="left"/>
    </xf>
    <xf numFmtId="170" fontId="7" fillId="0" borderId="26" xfId="117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549" applyFont="1" applyProtection="1"/>
    <xf numFmtId="49" fontId="71" fillId="0" borderId="0" xfId="549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39" fillId="0" borderId="11" xfId="0" applyFont="1" applyBorder="1" applyAlignment="1">
      <alignment horizontal="left"/>
    </xf>
    <xf numFmtId="0" fontId="53" fillId="0" borderId="0" xfId="0" quotePrefix="1" applyFont="1" applyAlignment="1">
      <alignment horizontal="left"/>
    </xf>
    <xf numFmtId="0" fontId="65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72" fillId="0" borderId="0" xfId="0" applyFont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5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17" applyNumberFormat="1" applyFont="1" applyFill="1" applyAlignment="1" applyProtection="1">
      <alignment vertical="center"/>
    </xf>
    <xf numFmtId="170" fontId="1" fillId="0" borderId="0" xfId="117" applyNumberFormat="1" applyFill="1" applyAlignment="1" applyProtection="1">
      <alignment vertical="center"/>
    </xf>
    <xf numFmtId="170" fontId="64" fillId="27" borderId="0" xfId="117" applyNumberFormat="1" applyFont="1" applyFill="1" applyAlignment="1" applyProtection="1">
      <alignment vertical="center"/>
    </xf>
    <xf numFmtId="170" fontId="1" fillId="0" borderId="0" xfId="117" applyNumberFormat="1" applyAlignment="1" applyProtection="1">
      <alignment vertical="center"/>
    </xf>
    <xf numFmtId="170" fontId="39" fillId="0" borderId="0" xfId="117" applyNumberFormat="1" applyFont="1" applyAlignment="1" applyProtection="1">
      <alignment horizontal="center" vertical="center"/>
    </xf>
    <xf numFmtId="170" fontId="0" fillId="0" borderId="25" xfId="0" applyNumberFormat="1" applyBorder="1" applyAlignment="1">
      <alignment vertical="center"/>
    </xf>
    <xf numFmtId="170" fontId="39" fillId="0" borderId="0" xfId="117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17" applyNumberFormat="1" applyFont="1" applyAlignment="1" applyProtection="1">
      <alignment horizontal="center" vertical="center"/>
    </xf>
    <xf numFmtId="0" fontId="7" fillId="0" borderId="0" xfId="0" quotePrefix="1" applyFont="1" applyAlignment="1">
      <alignment horizontal="center" vertical="center"/>
    </xf>
    <xf numFmtId="170" fontId="1" fillId="0" borderId="0" xfId="117" applyNumberFormat="1" applyFill="1" applyBorder="1" applyAlignment="1" applyProtection="1">
      <alignment vertical="center"/>
    </xf>
    <xf numFmtId="170" fontId="1" fillId="0" borderId="0" xfId="117" applyNumberFormat="1" applyFont="1" applyFill="1" applyBorder="1" applyAlignment="1" applyProtection="1">
      <alignment vertical="center"/>
    </xf>
    <xf numFmtId="170" fontId="1" fillId="0" borderId="0" xfId="117" applyNumberFormat="1" applyBorder="1" applyAlignment="1" applyProtection="1">
      <alignment vertical="center"/>
    </xf>
    <xf numFmtId="170" fontId="39" fillId="0" borderId="0" xfId="117" applyNumberFormat="1" applyFont="1" applyBorder="1" applyAlignment="1" applyProtection="1">
      <alignment vertical="center"/>
    </xf>
    <xf numFmtId="170" fontId="1" fillId="0" borderId="0" xfId="117" applyNumberFormat="1" applyFont="1" applyBorder="1" applyAlignment="1" applyProtection="1">
      <alignment vertical="center"/>
    </xf>
    <xf numFmtId="0" fontId="39" fillId="0" borderId="0" xfId="0" applyFont="1" applyAlignment="1">
      <alignment horizontal="center" vertical="center"/>
    </xf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43" fontId="73" fillId="0" borderId="0" xfId="117" applyFont="1" applyAlignment="1" applyProtection="1">
      <alignment horizontal="center" vertical="center"/>
    </xf>
    <xf numFmtId="43" fontId="53" fillId="0" borderId="0" xfId="117" applyFont="1" applyAlignment="1" applyProtection="1">
      <alignment horizontal="center" vertical="center"/>
    </xf>
    <xf numFmtId="43" fontId="75" fillId="0" borderId="0" xfId="117" applyFont="1" applyAlignment="1" applyProtection="1">
      <alignment horizontal="left" vertical="center"/>
    </xf>
    <xf numFmtId="170" fontId="75" fillId="0" borderId="0" xfId="117" applyNumberFormat="1" applyFont="1" applyAlignment="1" applyProtection="1">
      <alignment horizontal="center" vertical="center"/>
    </xf>
    <xf numFmtId="43" fontId="76" fillId="0" borderId="0" xfId="117" applyFont="1" applyAlignment="1" applyProtection="1">
      <alignment vertical="center"/>
    </xf>
    <xf numFmtId="43" fontId="1" fillId="0" borderId="0" xfId="117" applyAlignment="1" applyProtection="1">
      <alignment vertical="center"/>
    </xf>
    <xf numFmtId="170" fontId="0" fillId="0" borderId="26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0" fillId="0" borderId="0" xfId="117" applyNumberFormat="1" applyFont="1" applyProtection="1"/>
    <xf numFmtId="170" fontId="64" fillId="27" borderId="0" xfId="0" applyNumberFormat="1" applyFont="1" applyFill="1" applyAlignment="1">
      <alignment vertical="center"/>
    </xf>
    <xf numFmtId="170" fontId="1" fillId="0" borderId="0" xfId="117" applyNumberFormat="1" applyProtection="1"/>
    <xf numFmtId="164" fontId="1" fillId="0" borderId="0" xfId="0" applyNumberFormat="1" applyFont="1"/>
    <xf numFmtId="43" fontId="1" fillId="0" borderId="0" xfId="117" applyProtection="1"/>
    <xf numFmtId="177" fontId="1" fillId="0" borderId="0" xfId="117" applyNumberFormat="1" applyProtection="1"/>
    <xf numFmtId="0" fontId="0" fillId="0" borderId="33" xfId="0" applyBorder="1"/>
    <xf numFmtId="0" fontId="0" fillId="0" borderId="2" xfId="0" applyBorder="1"/>
    <xf numFmtId="170" fontId="1" fillId="0" borderId="2" xfId="117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17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171" fontId="0" fillId="0" borderId="0" xfId="327" applyNumberFormat="1" applyFont="1" applyProtection="1"/>
    <xf numFmtId="0" fontId="0" fillId="0" borderId="0" xfId="0" quotePrefix="1" applyAlignment="1">
      <alignment horizontal="center"/>
    </xf>
    <xf numFmtId="170" fontId="0" fillId="0" borderId="0" xfId="0" applyNumberFormat="1"/>
    <xf numFmtId="170" fontId="0" fillId="0" borderId="0" xfId="121" applyNumberFormat="1" applyFont="1" applyProtection="1"/>
    <xf numFmtId="170" fontId="0" fillId="0" borderId="0" xfId="561" applyNumberFormat="1" applyFont="1" applyProtection="1"/>
    <xf numFmtId="170" fontId="7" fillId="0" borderId="0" xfId="117" applyNumberFormat="1" applyFont="1" applyProtection="1"/>
    <xf numFmtId="0" fontId="47" fillId="0" borderId="0" xfId="0" applyFont="1" applyAlignment="1">
      <alignment vertical="top"/>
    </xf>
    <xf numFmtId="41" fontId="0" fillId="0" borderId="0" xfId="0" applyNumberFormat="1"/>
    <xf numFmtId="3" fontId="0" fillId="0" borderId="0" xfId="0" applyNumberFormat="1"/>
    <xf numFmtId="0" fontId="7" fillId="0" borderId="0" xfId="549" applyNumberFormat="1" applyFont="1" applyProtection="1"/>
    <xf numFmtId="3" fontId="7" fillId="0" borderId="0" xfId="549" applyNumberFormat="1" applyFont="1" applyProtection="1"/>
    <xf numFmtId="10" fontId="7" fillId="0" borderId="0" xfId="549" applyNumberFormat="1" applyFont="1" applyProtection="1"/>
    <xf numFmtId="166" fontId="7" fillId="0" borderId="0" xfId="549" applyNumberFormat="1" applyFont="1" applyProtection="1"/>
    <xf numFmtId="43" fontId="7" fillId="0" borderId="0" xfId="117" applyFont="1" applyAlignment="1" applyProtection="1"/>
    <xf numFmtId="169" fontId="7" fillId="0" borderId="0" xfId="549" applyFont="1" applyProtection="1"/>
    <xf numFmtId="0" fontId="7" fillId="28" borderId="0" xfId="117" applyNumberFormat="1" applyFont="1" applyFill="1" applyAlignment="1" applyProtection="1"/>
    <xf numFmtId="10" fontId="7" fillId="0" borderId="0" xfId="549" applyNumberFormat="1" applyFont="1" applyAlignment="1" applyProtection="1">
      <alignment horizontal="right"/>
    </xf>
    <xf numFmtId="3" fontId="39" fillId="0" borderId="0" xfId="549" applyNumberFormat="1" applyFont="1" applyProtection="1"/>
    <xf numFmtId="3" fontId="48" fillId="0" borderId="0" xfId="549" applyNumberFormat="1" applyFont="1" applyAlignment="1" applyProtection="1">
      <alignment horizontal="center"/>
    </xf>
    <xf numFmtId="10" fontId="48" fillId="0" borderId="0" xfId="549" applyNumberFormat="1" applyFont="1" applyAlignment="1" applyProtection="1">
      <alignment horizontal="center"/>
    </xf>
    <xf numFmtId="0" fontId="7" fillId="0" borderId="0" xfId="549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549" applyNumberFormat="1" applyFont="1" applyAlignment="1" applyProtection="1">
      <alignment horizontal="center"/>
    </xf>
    <xf numFmtId="167" fontId="7" fillId="0" borderId="0" xfId="549" applyNumberFormat="1" applyFont="1" applyProtection="1"/>
    <xf numFmtId="165" fontId="7" fillId="0" borderId="0" xfId="549" applyNumberFormat="1" applyFont="1" applyAlignment="1" applyProtection="1">
      <alignment horizontal="center"/>
    </xf>
    <xf numFmtId="169" fontId="7" fillId="0" borderId="13" xfId="549" applyFont="1" applyBorder="1" applyProtection="1"/>
    <xf numFmtId="0" fontId="7" fillId="0" borderId="0" xfId="549" applyNumberFormat="1" applyFont="1" applyAlignment="1" applyProtection="1">
      <alignment horizontal="center"/>
    </xf>
    <xf numFmtId="3" fontId="7" fillId="0" borderId="14" xfId="549" applyNumberFormat="1" applyFont="1" applyBorder="1" applyProtection="1"/>
    <xf numFmtId="41" fontId="7" fillId="0" borderId="0" xfId="549" applyNumberFormat="1" applyFont="1" applyProtection="1"/>
    <xf numFmtId="41" fontId="7" fillId="0" borderId="0" xfId="549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549" applyNumberFormat="1" applyFont="1" applyProtection="1"/>
    <xf numFmtId="165" fontId="15" fillId="0" borderId="15" xfId="549" applyNumberFormat="1" applyFont="1" applyBorder="1" applyAlignment="1" applyProtection="1">
      <alignment horizontal="center"/>
    </xf>
    <xf numFmtId="0" fontId="7" fillId="28" borderId="6" xfId="549" applyNumberFormat="1" applyFont="1" applyFill="1" applyBorder="1" applyAlignment="1" applyProtection="1">
      <alignment horizontal="center"/>
    </xf>
    <xf numFmtId="170" fontId="7" fillId="0" borderId="6" xfId="549" applyNumberFormat="1" applyFont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549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549" applyNumberFormat="1" applyFont="1" applyAlignment="1" applyProtection="1">
      <alignment horizontal="left"/>
    </xf>
    <xf numFmtId="41" fontId="7" fillId="0" borderId="0" xfId="549" quotePrefix="1" applyNumberFormat="1" applyFont="1" applyProtection="1"/>
    <xf numFmtId="41" fontId="7" fillId="0" borderId="0" xfId="549" applyNumberFormat="1" applyFont="1" applyAlignment="1" applyProtection="1">
      <alignment horizontal="right"/>
    </xf>
    <xf numFmtId="172" fontId="7" fillId="0" borderId="11" xfId="549" applyNumberFormat="1" applyFont="1" applyBorder="1" applyProtection="1"/>
    <xf numFmtId="164" fontId="7" fillId="0" borderId="0" xfId="549" applyNumberFormat="1" applyFont="1" applyAlignment="1" applyProtection="1">
      <alignment horizontal="left"/>
    </xf>
    <xf numFmtId="3" fontId="7" fillId="0" borderId="0" xfId="549" applyNumberFormat="1" applyFont="1" applyAlignment="1" applyProtection="1">
      <alignment vertical="center" wrapText="1"/>
    </xf>
    <xf numFmtId="41" fontId="7" fillId="0" borderId="0" xfId="549" applyNumberFormat="1" applyFont="1" applyAlignment="1" applyProtection="1">
      <alignment vertical="center"/>
    </xf>
    <xf numFmtId="41" fontId="7" fillId="0" borderId="0" xfId="549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549" applyNumberFormat="1" applyFont="1" applyProtection="1"/>
    <xf numFmtId="3" fontId="14" fillId="0" borderId="0" xfId="549" applyNumberFormat="1" applyFont="1" applyAlignment="1" applyProtection="1">
      <alignment horizontal="center"/>
    </xf>
    <xf numFmtId="41" fontId="14" fillId="0" borderId="0" xfId="549" applyNumberFormat="1" applyFont="1" applyProtection="1"/>
    <xf numFmtId="0" fontId="14" fillId="0" borderId="0" xfId="549" applyNumberFormat="1" applyFont="1" applyProtection="1"/>
    <xf numFmtId="3" fontId="7" fillId="0" borderId="0" xfId="549" applyNumberFormat="1" applyFont="1" applyAlignment="1" applyProtection="1">
      <alignment horizontal="center"/>
    </xf>
    <xf numFmtId="41" fontId="7" fillId="0" borderId="11" xfId="549" applyNumberFormat="1" applyFont="1" applyBorder="1" applyProtection="1"/>
    <xf numFmtId="3" fontId="7" fillId="0" borderId="0" xfId="549" quotePrefix="1" applyNumberFormat="1" applyFont="1" applyProtection="1"/>
    <xf numFmtId="3" fontId="39" fillId="0" borderId="0" xfId="549" applyNumberFormat="1" applyFont="1" applyAlignment="1" applyProtection="1">
      <alignment horizontal="right"/>
    </xf>
    <xf numFmtId="167" fontId="39" fillId="0" borderId="0" xfId="549" applyNumberFormat="1" applyFont="1" applyProtection="1"/>
    <xf numFmtId="3" fontId="39" fillId="0" borderId="0" xfId="549" quotePrefix="1" applyNumberFormat="1" applyFont="1" applyProtection="1"/>
    <xf numFmtId="170" fontId="7" fillId="0" borderId="0" xfId="117" applyNumberFormat="1" applyFont="1" applyFill="1" applyBorder="1" applyProtection="1"/>
    <xf numFmtId="41" fontId="48" fillId="0" borderId="0" xfId="549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17" applyNumberFormat="1" applyFont="1" applyFill="1" applyProtection="1"/>
    <xf numFmtId="10" fontId="7" fillId="0" borderId="11" xfId="0" applyNumberFormat="1" applyFont="1" applyBorder="1"/>
    <xf numFmtId="9" fontId="7" fillId="0" borderId="11" xfId="559" applyFont="1" applyFill="1" applyBorder="1" applyProtection="1"/>
    <xf numFmtId="170" fontId="7" fillId="0" borderId="11" xfId="117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17" applyNumberFormat="1" applyFont="1" applyFill="1" applyBorder="1" applyProtection="1"/>
    <xf numFmtId="174" fontId="7" fillId="0" borderId="0" xfId="0" applyNumberFormat="1" applyFont="1"/>
    <xf numFmtId="43" fontId="7" fillId="0" borderId="0" xfId="117" applyFont="1" applyProtection="1"/>
    <xf numFmtId="170" fontId="7" fillId="0" borderId="0" xfId="117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17" xfId="0" quotePrefix="1" applyFont="1" applyBorder="1" applyAlignment="1">
      <alignment horizontal="left"/>
    </xf>
    <xf numFmtId="0" fontId="0" fillId="0" borderId="46" xfId="0" quotePrefix="1" applyBorder="1" applyAlignment="1">
      <alignment horizontal="left"/>
    </xf>
    <xf numFmtId="0" fontId="121" fillId="0" borderId="41" xfId="0" quotePrefix="1" applyFont="1" applyBorder="1" applyAlignment="1">
      <alignment horizontal="right"/>
    </xf>
    <xf numFmtId="0" fontId="103" fillId="0" borderId="14" xfId="0" applyFont="1" applyBorder="1"/>
    <xf numFmtId="170" fontId="121" fillId="0" borderId="41" xfId="308" applyNumberFormat="1" applyFont="1" applyFill="1" applyBorder="1" applyProtection="1"/>
    <xf numFmtId="180" fontId="121" fillId="0" borderId="41" xfId="620" applyNumberFormat="1" applyFont="1" applyFill="1" applyBorder="1" applyProtection="1"/>
    <xf numFmtId="0" fontId="103" fillId="0" borderId="39" xfId="0" applyFont="1" applyBorder="1"/>
    <xf numFmtId="0" fontId="103" fillId="0" borderId="40" xfId="0" applyFont="1" applyBorder="1"/>
    <xf numFmtId="41" fontId="54" fillId="0" borderId="13" xfId="0" applyNumberFormat="1" applyFont="1" applyBorder="1"/>
    <xf numFmtId="3" fontId="7" fillId="0" borderId="43" xfId="484" applyNumberFormat="1" applyBorder="1"/>
    <xf numFmtId="10" fontId="54" fillId="0" borderId="13" xfId="0" applyNumberFormat="1" applyFont="1" applyBorder="1"/>
    <xf numFmtId="0" fontId="7" fillId="0" borderId="14" xfId="484" applyBorder="1"/>
    <xf numFmtId="10" fontId="121" fillId="0" borderId="41" xfId="561" applyNumberFormat="1" applyFont="1" applyFill="1" applyBorder="1" applyProtection="1"/>
    <xf numFmtId="0" fontId="54" fillId="0" borderId="20" xfId="0" applyFont="1" applyBorder="1"/>
    <xf numFmtId="170" fontId="121" fillId="0" borderId="42" xfId="0" applyNumberFormat="1" applyFont="1" applyBorder="1"/>
    <xf numFmtId="0" fontId="54" fillId="0" borderId="44" xfId="0" applyFont="1" applyBorder="1"/>
    <xf numFmtId="0" fontId="54" fillId="0" borderId="16" xfId="0" applyFont="1" applyBorder="1"/>
    <xf numFmtId="170" fontId="54" fillId="0" borderId="24" xfId="0" applyNumberFormat="1" applyFont="1" applyBorder="1"/>
    <xf numFmtId="170" fontId="54" fillId="0" borderId="25" xfId="0" applyNumberFormat="1" applyFont="1" applyBorder="1"/>
    <xf numFmtId="171" fontId="54" fillId="0" borderId="26" xfId="0" applyNumberFormat="1" applyFont="1" applyBorder="1"/>
    <xf numFmtId="0" fontId="50" fillId="0" borderId="0" xfId="0" applyFont="1"/>
    <xf numFmtId="0" fontId="7" fillId="26" borderId="0" xfId="117" applyNumberFormat="1" applyFont="1" applyFill="1" applyAlignment="1" applyProtection="1"/>
    <xf numFmtId="0" fontId="7" fillId="0" borderId="0" xfId="117" applyNumberFormat="1" applyFont="1" applyFill="1" applyAlignment="1" applyProtection="1"/>
    <xf numFmtId="169" fontId="15" fillId="0" borderId="17" xfId="549" applyFont="1" applyBorder="1" applyProtection="1"/>
    <xf numFmtId="169" fontId="7" fillId="0" borderId="18" xfId="549" applyFont="1" applyBorder="1" applyProtection="1"/>
    <xf numFmtId="3" fontId="7" fillId="0" borderId="19" xfId="549" applyNumberFormat="1" applyFont="1" applyBorder="1" applyProtection="1"/>
    <xf numFmtId="0" fontId="7" fillId="28" borderId="0" xfId="549" applyNumberFormat="1" applyFont="1" applyFill="1" applyAlignment="1" applyProtection="1">
      <alignment horizontal="center"/>
    </xf>
    <xf numFmtId="0" fontId="7" fillId="0" borderId="0" xfId="0" quotePrefix="1" applyFont="1" applyAlignment="1">
      <alignment horizontal="right"/>
    </xf>
    <xf numFmtId="171" fontId="0" fillId="0" borderId="0" xfId="0" applyNumberFormat="1"/>
    <xf numFmtId="0" fontId="0" fillId="0" borderId="0" xfId="0" quotePrefix="1" applyAlignment="1">
      <alignment horizontal="right"/>
    </xf>
    <xf numFmtId="171" fontId="0" fillId="0" borderId="6" xfId="0" applyNumberFormat="1" applyBorder="1"/>
    <xf numFmtId="0" fontId="0" fillId="0" borderId="0" xfId="0" applyAlignment="1">
      <alignment horizontal="right"/>
    </xf>
    <xf numFmtId="173" fontId="7" fillId="0" borderId="0" xfId="549" applyNumberFormat="1" applyFont="1" applyProtection="1"/>
    <xf numFmtId="165" fontId="7" fillId="0" borderId="15" xfId="549" applyNumberFormat="1" applyFont="1" applyBorder="1" applyAlignment="1" applyProtection="1">
      <alignment horizontal="center"/>
    </xf>
    <xf numFmtId="0" fontId="7" fillId="0" borderId="6" xfId="549" applyNumberFormat="1" applyFont="1" applyBorder="1" applyAlignment="1" applyProtection="1">
      <alignment horizontal="center"/>
    </xf>
    <xf numFmtId="170" fontId="7" fillId="0" borderId="6" xfId="549" quotePrefix="1" applyNumberFormat="1" applyFont="1" applyBorder="1" applyAlignment="1" applyProtection="1">
      <alignment horizontal="center"/>
    </xf>
    <xf numFmtId="41" fontId="48" fillId="0" borderId="11" xfId="549" applyNumberFormat="1" applyFont="1" applyBorder="1" applyProtection="1"/>
    <xf numFmtId="9" fontId="7" fillId="0" borderId="0" xfId="559" applyFont="1" applyFill="1" applyBorder="1" applyProtection="1"/>
    <xf numFmtId="170" fontId="7" fillId="0" borderId="0" xfId="117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559" applyNumberFormat="1" applyProtection="1"/>
    <xf numFmtId="0" fontId="7" fillId="0" borderId="47" xfId="0" quotePrefix="1" applyFont="1" applyBorder="1" applyAlignment="1">
      <alignment horizontal="left"/>
    </xf>
    <xf numFmtId="0" fontId="0" fillId="0" borderId="19" xfId="0" applyBorder="1"/>
    <xf numFmtId="0" fontId="54" fillId="0" borderId="41" xfId="0" quotePrefix="1" applyFont="1" applyBorder="1" applyAlignment="1">
      <alignment horizontal="right"/>
    </xf>
    <xf numFmtId="10" fontId="54" fillId="0" borderId="41" xfId="0" applyNumberFormat="1" applyFont="1" applyBorder="1"/>
    <xf numFmtId="170" fontId="54" fillId="0" borderId="41" xfId="317" applyNumberFormat="1" applyFont="1" applyBorder="1" applyProtection="1"/>
    <xf numFmtId="166" fontId="54" fillId="0" borderId="41" xfId="0" applyNumberFormat="1" applyFont="1" applyBorder="1"/>
    <xf numFmtId="3" fontId="54" fillId="0" borderId="43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170" fontId="54" fillId="0" borderId="41" xfId="0" applyNumberFormat="1" applyFont="1" applyBorder="1"/>
    <xf numFmtId="170" fontId="54" fillId="0" borderId="42" xfId="0" applyNumberFormat="1" applyFont="1" applyBorder="1"/>
    <xf numFmtId="170" fontId="54" fillId="0" borderId="45" xfId="0" applyNumberFormat="1" applyFont="1" applyBorder="1"/>
    <xf numFmtId="171" fontId="54" fillId="0" borderId="25" xfId="0" applyNumberFormat="1" applyFont="1" applyBorder="1"/>
    <xf numFmtId="0" fontId="68" fillId="0" borderId="0" xfId="0" quotePrefix="1" applyFont="1" applyAlignment="1">
      <alignment horizontal="left"/>
    </xf>
    <xf numFmtId="0" fontId="51" fillId="27" borderId="0" xfId="117" applyNumberFormat="1" applyFont="1" applyFill="1" applyAlignment="1" applyProtection="1">
      <alignment horizontal="left"/>
    </xf>
    <xf numFmtId="170" fontId="39" fillId="0" borderId="19" xfId="117" applyNumberFormat="1" applyFont="1" applyBorder="1" applyProtection="1"/>
    <xf numFmtId="0" fontId="14" fillId="0" borderId="0" xfId="117" applyNumberFormat="1" applyFont="1" applyFill="1" applyAlignment="1" applyProtection="1">
      <alignment horizontal="left"/>
    </xf>
    <xf numFmtId="0" fontId="14" fillId="0" borderId="0" xfId="117" applyNumberFormat="1" applyFont="1" applyFill="1" applyBorder="1" applyAlignment="1" applyProtection="1">
      <alignment horizontal="left"/>
    </xf>
    <xf numFmtId="0" fontId="9" fillId="0" borderId="0" xfId="117" applyNumberFormat="1" applyFont="1" applyFill="1" applyBorder="1" applyAlignment="1" applyProtection="1">
      <alignment horizontal="left"/>
    </xf>
    <xf numFmtId="170" fontId="39" fillId="0" borderId="20" xfId="117" applyNumberFormat="1" applyFont="1" applyBorder="1" applyProtection="1"/>
    <xf numFmtId="0" fontId="52" fillId="0" borderId="0" xfId="0" quotePrefix="1" applyFont="1" applyAlignment="1">
      <alignment horizontal="left"/>
    </xf>
    <xf numFmtId="170" fontId="39" fillId="0" borderId="15" xfId="117" applyNumberFormat="1" applyFont="1" applyBorder="1" applyProtection="1"/>
    <xf numFmtId="170" fontId="7" fillId="0" borderId="6" xfId="117" applyNumberFormat="1" applyFont="1" applyBorder="1" applyProtection="1"/>
    <xf numFmtId="170" fontId="7" fillId="0" borderId="16" xfId="117" applyNumberFormat="1" applyFont="1" applyBorder="1" applyProtection="1"/>
    <xf numFmtId="170" fontId="54" fillId="27" borderId="14" xfId="117" applyNumberFormat="1" applyFont="1" applyFill="1" applyBorder="1" applyAlignment="1" applyProtection="1">
      <alignment horizontal="right"/>
    </xf>
    <xf numFmtId="170" fontId="7" fillId="0" borderId="14" xfId="117" applyNumberFormat="1" applyFont="1" applyBorder="1" applyProtection="1"/>
    <xf numFmtId="170" fontId="39" fillId="0" borderId="24" xfId="117" applyNumberFormat="1" applyFont="1" applyBorder="1" applyAlignment="1" applyProtection="1">
      <alignment horizontal="center"/>
    </xf>
    <xf numFmtId="170" fontId="39" fillId="27" borderId="19" xfId="117" quotePrefix="1" applyNumberFormat="1" applyFont="1" applyFill="1" applyBorder="1" applyAlignment="1" applyProtection="1">
      <alignment horizontal="center" wrapText="1"/>
    </xf>
    <xf numFmtId="170" fontId="39" fillId="0" borderId="19" xfId="117" quotePrefix="1" applyNumberFormat="1" applyFont="1" applyBorder="1" applyAlignment="1" applyProtection="1">
      <alignment horizontal="center" wrapText="1"/>
    </xf>
    <xf numFmtId="170" fontId="39" fillId="0" borderId="24" xfId="117" quotePrefix="1" applyNumberFormat="1" applyFont="1" applyBorder="1" applyAlignment="1" applyProtection="1">
      <alignment horizontal="center" wrapText="1"/>
    </xf>
    <xf numFmtId="170" fontId="39" fillId="0" borderId="24" xfId="117" applyNumberFormat="1" applyFont="1" applyFill="1" applyBorder="1" applyAlignment="1" applyProtection="1">
      <alignment horizontal="center" wrapText="1"/>
    </xf>
    <xf numFmtId="170" fontId="39" fillId="0" borderId="24" xfId="117" applyNumberFormat="1" applyFont="1" applyBorder="1" applyAlignment="1" applyProtection="1">
      <alignment horizontal="center" wrapText="1"/>
    </xf>
    <xf numFmtId="170" fontId="39" fillId="27" borderId="16" xfId="117" applyNumberFormat="1" applyFont="1" applyFill="1" applyBorder="1" applyAlignment="1" applyProtection="1">
      <alignment horizontal="center"/>
    </xf>
    <xf numFmtId="170" fontId="39" fillId="0" borderId="16" xfId="117" applyNumberFormat="1" applyFont="1" applyBorder="1" applyAlignment="1" applyProtection="1">
      <alignment horizontal="center"/>
    </xf>
    <xf numFmtId="170" fontId="39" fillId="0" borderId="26" xfId="117" applyNumberFormat="1" applyFont="1" applyBorder="1" applyAlignment="1" applyProtection="1">
      <alignment horizontal="center"/>
    </xf>
    <xf numFmtId="170" fontId="39" fillId="0" borderId="26" xfId="117" applyNumberFormat="1" applyFont="1" applyFill="1" applyBorder="1" applyAlignment="1" applyProtection="1">
      <alignment horizontal="center"/>
    </xf>
    <xf numFmtId="170" fontId="39" fillId="0" borderId="15" xfId="117" applyNumberFormat="1" applyFont="1" applyFill="1" applyBorder="1" applyAlignment="1" applyProtection="1">
      <alignment horizontal="center"/>
    </xf>
    <xf numFmtId="170" fontId="54" fillId="27" borderId="0" xfId="0" applyNumberFormat="1" applyFont="1" applyFill="1"/>
    <xf numFmtId="170" fontId="54" fillId="27" borderId="24" xfId="117" applyNumberFormat="1" applyFont="1" applyFill="1" applyBorder="1" applyProtection="1"/>
    <xf numFmtId="170" fontId="54" fillId="27" borderId="25" xfId="0" applyNumberFormat="1" applyFont="1" applyFill="1" applyBorder="1"/>
    <xf numFmtId="170" fontId="54" fillId="27" borderId="25" xfId="117" applyNumberFormat="1" applyFont="1" applyFill="1" applyBorder="1" applyProtection="1"/>
    <xf numFmtId="170" fontId="54" fillId="27" borderId="14" xfId="117" applyNumberFormat="1" applyFont="1" applyFill="1" applyBorder="1" applyProtection="1"/>
    <xf numFmtId="170" fontId="1" fillId="0" borderId="25" xfId="117" applyNumberFormat="1" applyBorder="1" applyProtection="1"/>
    <xf numFmtId="170" fontId="7" fillId="0" borderId="25" xfId="117" applyNumberFormat="1" applyFont="1" applyBorder="1" applyProtection="1"/>
    <xf numFmtId="170" fontId="7" fillId="0" borderId="25" xfId="117" applyNumberFormat="1" applyFont="1" applyFill="1" applyBorder="1" applyProtection="1"/>
    <xf numFmtId="170" fontId="1" fillId="0" borderId="26" xfId="117" applyNumberFormat="1" applyBorder="1" applyProtection="1"/>
    <xf numFmtId="170" fontId="7" fillId="0" borderId="26" xfId="117" applyNumberFormat="1" applyFont="1" applyFill="1" applyBorder="1" applyProtection="1"/>
    <xf numFmtId="0" fontId="69" fillId="0" borderId="0" xfId="0" applyFont="1"/>
    <xf numFmtId="169" fontId="7" fillId="0" borderId="29" xfId="549" applyFont="1" applyBorder="1" applyAlignment="1" applyProtection="1">
      <alignment horizontal="center"/>
    </xf>
    <xf numFmtId="169" fontId="7" fillId="0" borderId="29" xfId="549" quotePrefix="1" applyFont="1" applyBorder="1" applyAlignment="1" applyProtection="1">
      <alignment horizontal="center"/>
    </xf>
    <xf numFmtId="3" fontId="7" fillId="0" borderId="30" xfId="549" applyNumberFormat="1" applyFont="1" applyBorder="1" applyAlignment="1" applyProtection="1">
      <alignment horizontal="center"/>
    </xf>
    <xf numFmtId="170" fontId="7" fillId="0" borderId="13" xfId="117" quotePrefix="1" applyNumberFormat="1" applyFont="1" applyBorder="1" applyAlignment="1" applyProtection="1">
      <alignment horizontal="right"/>
    </xf>
    <xf numFmtId="170" fontId="39" fillId="0" borderId="0" xfId="117" applyNumberFormat="1" applyFont="1" applyBorder="1" applyProtection="1"/>
    <xf numFmtId="0" fontId="57" fillId="0" borderId="31" xfId="117" applyNumberFormat="1" applyFont="1" applyFill="1" applyBorder="1" applyAlignment="1" applyProtection="1">
      <alignment horizontal="left"/>
    </xf>
    <xf numFmtId="170" fontId="7" fillId="0" borderId="32" xfId="117" quotePrefix="1" applyNumberFormat="1" applyFont="1" applyBorder="1" applyAlignment="1" applyProtection="1">
      <alignment horizontal="right"/>
    </xf>
    <xf numFmtId="170" fontId="39" fillId="0" borderId="11" xfId="117" applyNumberFormat="1" applyFont="1" applyBorder="1" applyProtection="1"/>
    <xf numFmtId="170" fontId="55" fillId="0" borderId="26" xfId="117" applyNumberFormat="1" applyFont="1" applyBorder="1" applyProtection="1"/>
    <xf numFmtId="170" fontId="39" fillId="0" borderId="6" xfId="117" applyNumberFormat="1" applyFont="1" applyFill="1" applyBorder="1" applyAlignment="1" applyProtection="1">
      <alignment horizontal="left"/>
    </xf>
    <xf numFmtId="170" fontId="39" fillId="0" borderId="16" xfId="117" applyNumberFormat="1" applyFont="1" applyFill="1" applyBorder="1" applyAlignment="1" applyProtection="1">
      <alignment horizontal="left"/>
    </xf>
    <xf numFmtId="0" fontId="0" fillId="0" borderId="23" xfId="0" applyBorder="1"/>
    <xf numFmtId="170" fontId="7" fillId="0" borderId="14" xfId="117" applyNumberFormat="1" applyFont="1" applyFill="1" applyBorder="1" applyAlignment="1" applyProtection="1">
      <alignment horizontal="right"/>
    </xf>
    <xf numFmtId="170" fontId="39" fillId="0" borderId="0" xfId="117" applyNumberFormat="1" applyFont="1" applyBorder="1" applyAlignment="1" applyProtection="1">
      <alignment horizontal="center" wrapText="1"/>
    </xf>
    <xf numFmtId="170" fontId="39" fillId="27" borderId="24" xfId="117" quotePrefix="1" applyNumberFormat="1" applyFont="1" applyFill="1" applyBorder="1" applyAlignment="1" applyProtection="1">
      <alignment horizontal="center" wrapText="1"/>
    </xf>
    <xf numFmtId="170" fontId="39" fillId="27" borderId="26" xfId="117" applyNumberFormat="1" applyFont="1" applyFill="1" applyBorder="1" applyAlignment="1" applyProtection="1">
      <alignment horizontal="center"/>
    </xf>
    <xf numFmtId="170" fontId="54" fillId="27" borderId="24" xfId="0" applyNumberFormat="1" applyFont="1" applyFill="1" applyBorder="1"/>
    <xf numFmtId="168" fontId="54" fillId="27" borderId="25" xfId="117" applyNumberFormat="1" applyFont="1" applyFill="1" applyBorder="1" applyProtection="1"/>
    <xf numFmtId="168" fontId="54" fillId="27" borderId="14" xfId="117" applyNumberFormat="1" applyFont="1" applyFill="1" applyBorder="1" applyProtection="1"/>
    <xf numFmtId="171" fontId="54" fillId="29" borderId="25" xfId="0" applyNumberFormat="1" applyFont="1" applyFill="1" applyBorder="1"/>
    <xf numFmtId="171" fontId="7" fillId="29" borderId="25" xfId="0" applyNumberFormat="1" applyFont="1" applyFill="1" applyBorder="1"/>
    <xf numFmtId="170" fontId="7" fillId="0" borderId="14" xfId="117" applyNumberFormat="1" applyFont="1" applyFill="1" applyBorder="1" applyProtection="1"/>
    <xf numFmtId="170" fontId="7" fillId="0" borderId="26" xfId="117" applyNumberFormat="1" applyFont="1" applyBorder="1" applyProtection="1"/>
    <xf numFmtId="170" fontId="7" fillId="0" borderId="16" xfId="117" applyNumberFormat="1" applyFont="1" applyFill="1" applyBorder="1" applyProtection="1"/>
    <xf numFmtId="0" fontId="46" fillId="0" borderId="0" xfId="0" applyFont="1" applyAlignment="1">
      <alignment horizontal="center"/>
    </xf>
    <xf numFmtId="175" fontId="5" fillId="0" borderId="14" xfId="0" applyNumberFormat="1" applyFont="1" applyBorder="1"/>
    <xf numFmtId="176" fontId="7" fillId="0" borderId="14" xfId="117" applyNumberFormat="1" applyFont="1" applyBorder="1" applyProtection="1"/>
    <xf numFmtId="43" fontId="0" fillId="0" borderId="0" xfId="117" applyFont="1" applyProtection="1"/>
    <xf numFmtId="170" fontId="39" fillId="0" borderId="25" xfId="117" applyNumberFormat="1" applyFont="1" applyBorder="1" applyAlignment="1" applyProtection="1">
      <alignment horizontal="center"/>
    </xf>
    <xf numFmtId="170" fontId="54" fillId="27" borderId="0" xfId="0" quotePrefix="1" applyNumberFormat="1" applyFont="1" applyFill="1" applyAlignment="1">
      <alignment horizontal="left"/>
    </xf>
    <xf numFmtId="171" fontId="7" fillId="0" borderId="19" xfId="0" applyNumberFormat="1" applyFont="1" applyBorder="1"/>
    <xf numFmtId="0" fontId="39" fillId="0" borderId="13" xfId="0" applyFont="1" applyBorder="1" applyAlignment="1">
      <alignment horizontal="center"/>
    </xf>
    <xf numFmtId="170" fontId="64" fillId="27" borderId="25" xfId="117" applyNumberFormat="1" applyFont="1" applyFill="1" applyBorder="1" applyProtection="1"/>
    <xf numFmtId="0" fontId="68" fillId="0" borderId="0" xfId="0" applyFont="1" applyAlignment="1">
      <alignment horizontal="center"/>
    </xf>
    <xf numFmtId="171" fontId="54" fillId="29" borderId="24" xfId="0" applyNumberFormat="1" applyFont="1" applyFill="1" applyBorder="1"/>
    <xf numFmtId="171" fontId="7" fillId="29" borderId="24" xfId="0" applyNumberFormat="1" applyFont="1" applyFill="1" applyBorder="1"/>
    <xf numFmtId="0" fontId="84" fillId="0" borderId="0" xfId="549" applyNumberFormat="1" applyFont="1" applyProtection="1"/>
    <xf numFmtId="0" fontId="83" fillId="0" borderId="0" xfId="0" applyFont="1" applyAlignment="1">
      <alignment horizontal="left"/>
    </xf>
    <xf numFmtId="0" fontId="83" fillId="0" borderId="0" xfId="549" applyNumberFormat="1" applyFont="1" applyProtection="1"/>
    <xf numFmtId="0" fontId="61" fillId="28" borderId="22" xfId="0" quotePrefix="1" applyFont="1" applyFill="1" applyBorder="1" applyAlignment="1">
      <alignment horizontal="center"/>
    </xf>
    <xf numFmtId="170" fontId="54" fillId="27" borderId="13" xfId="0" applyNumberFormat="1" applyFont="1" applyFill="1" applyBorder="1"/>
    <xf numFmtId="171" fontId="7" fillId="0" borderId="13" xfId="0" applyNumberFormat="1" applyFont="1" applyBorder="1"/>
    <xf numFmtId="171" fontId="7" fillId="29" borderId="0" xfId="0" applyNumberFormat="1" applyFont="1" applyFill="1"/>
    <xf numFmtId="170" fontId="7" fillId="0" borderId="15" xfId="0" applyNumberFormat="1" applyFont="1" applyBorder="1"/>
    <xf numFmtId="0" fontId="7" fillId="0" borderId="22" xfId="0" applyFont="1" applyBorder="1" applyAlignment="1">
      <alignment horizontal="left"/>
    </xf>
    <xf numFmtId="170" fontId="82" fillId="27" borderId="0" xfId="0" applyNumberFormat="1" applyFont="1" applyFill="1"/>
    <xf numFmtId="170" fontId="82" fillId="27" borderId="25" xfId="117" applyNumberFormat="1" applyFont="1" applyFill="1" applyBorder="1" applyProtection="1"/>
    <xf numFmtId="170" fontId="82" fillId="27" borderId="25" xfId="0" applyNumberFormat="1" applyFont="1" applyFill="1" applyBorder="1"/>
    <xf numFmtId="170" fontId="82" fillId="27" borderId="24" xfId="0" applyNumberFormat="1" applyFont="1" applyFill="1" applyBorder="1"/>
    <xf numFmtId="168" fontId="82" fillId="27" borderId="25" xfId="117" applyNumberFormat="1" applyFont="1" applyFill="1" applyBorder="1" applyProtection="1"/>
    <xf numFmtId="168" fontId="82" fillId="27" borderId="14" xfId="117" applyNumberFormat="1" applyFont="1" applyFill="1" applyBorder="1" applyProtection="1"/>
    <xf numFmtId="170" fontId="85" fillId="27" borderId="0" xfId="0" applyNumberFormat="1" applyFont="1" applyFill="1"/>
    <xf numFmtId="170" fontId="85" fillId="27" borderId="25" xfId="117" applyNumberFormat="1" applyFont="1" applyFill="1" applyBorder="1" applyProtection="1"/>
    <xf numFmtId="170" fontId="85" fillId="27" borderId="25" xfId="0" applyNumberFormat="1" applyFont="1" applyFill="1" applyBorder="1"/>
    <xf numFmtId="170" fontId="85" fillId="27" borderId="14" xfId="117" applyNumberFormat="1" applyFont="1" applyFill="1" applyBorder="1" applyProtection="1"/>
    <xf numFmtId="170" fontId="54" fillId="27" borderId="14" xfId="0" applyNumberFormat="1" applyFont="1" applyFill="1" applyBorder="1"/>
    <xf numFmtId="171" fontId="7" fillId="0" borderId="18" xfId="0" applyNumberFormat="1" applyFont="1" applyBorder="1"/>
    <xf numFmtId="0" fontId="0" fillId="0" borderId="24" xfId="0" applyBorder="1" applyAlignment="1">
      <alignment horizontal="center"/>
    </xf>
    <xf numFmtId="43" fontId="77" fillId="27" borderId="24" xfId="117" applyFont="1" applyFill="1" applyBorder="1" applyAlignment="1" applyProtection="1">
      <alignment horizontal="right"/>
    </xf>
    <xf numFmtId="43" fontId="77" fillId="27" borderId="24" xfId="117" applyFont="1" applyFill="1" applyBorder="1" applyProtection="1"/>
    <xf numFmtId="43" fontId="1" fillId="27" borderId="24" xfId="117" applyFill="1" applyBorder="1" applyProtection="1"/>
    <xf numFmtId="43" fontId="0" fillId="0" borderId="24" xfId="117" applyFont="1" applyBorder="1" applyProtection="1"/>
    <xf numFmtId="43" fontId="77" fillId="27" borderId="25" xfId="117" applyFont="1" applyFill="1" applyBorder="1" applyAlignment="1" applyProtection="1">
      <alignment horizontal="center"/>
    </xf>
    <xf numFmtId="43" fontId="77" fillId="27" borderId="25" xfId="117" applyFont="1" applyFill="1" applyBorder="1" applyProtection="1"/>
    <xf numFmtId="43" fontId="1" fillId="27" borderId="25" xfId="117" applyFill="1" applyBorder="1" applyProtection="1"/>
    <xf numFmtId="43" fontId="0" fillId="0" borderId="25" xfId="117" applyFont="1" applyBorder="1" applyProtection="1"/>
    <xf numFmtId="0" fontId="7" fillId="27" borderId="0" xfId="0" applyFont="1" applyFill="1"/>
    <xf numFmtId="170" fontId="82" fillId="27" borderId="24" xfId="117" applyNumberFormat="1" applyFont="1" applyFill="1" applyBorder="1" applyProtection="1"/>
    <xf numFmtId="170" fontId="82" fillId="27" borderId="14" xfId="117" applyNumberFormat="1" applyFont="1" applyFill="1" applyBorder="1" applyProtection="1"/>
    <xf numFmtId="170" fontId="7" fillId="0" borderId="14" xfId="117" quotePrefix="1" applyNumberFormat="1" applyFont="1" applyFill="1" applyBorder="1" applyAlignment="1" applyProtection="1">
      <alignment horizontal="right"/>
    </xf>
    <xf numFmtId="170" fontId="85" fillId="27" borderId="24" xfId="0" applyNumberFormat="1" applyFont="1" applyFill="1" applyBorder="1"/>
    <xf numFmtId="168" fontId="85" fillId="27" borderId="25" xfId="117" applyNumberFormat="1" applyFont="1" applyFill="1" applyBorder="1" applyProtection="1"/>
    <xf numFmtId="168" fontId="85" fillId="27" borderId="14" xfId="117" applyNumberFormat="1" applyFont="1" applyFill="1" applyBorder="1" applyProtection="1"/>
    <xf numFmtId="170" fontId="85" fillId="27" borderId="24" xfId="117" applyNumberFormat="1" applyFont="1" applyFill="1" applyBorder="1" applyProtection="1"/>
    <xf numFmtId="170" fontId="85" fillId="27" borderId="14" xfId="117" applyNumberFormat="1" applyFont="1" applyFill="1" applyBorder="1" applyAlignment="1" applyProtection="1">
      <alignment horizontal="right"/>
    </xf>
    <xf numFmtId="170" fontId="7" fillId="0" borderId="0" xfId="0" applyNumberFormat="1" applyFont="1" applyAlignment="1">
      <alignment horizontal="left"/>
    </xf>
    <xf numFmtId="170" fontId="54" fillId="0" borderId="25" xfId="117" applyNumberFormat="1" applyFont="1" applyFill="1" applyBorder="1" applyProtection="1"/>
    <xf numFmtId="170" fontId="54" fillId="0" borderId="14" xfId="117" applyNumberFormat="1" applyFont="1" applyFill="1" applyBorder="1" applyProtection="1"/>
    <xf numFmtId="170" fontId="54" fillId="0" borderId="26" xfId="117" applyNumberFormat="1" applyFont="1" applyFill="1" applyBorder="1" applyProtection="1"/>
    <xf numFmtId="170" fontId="54" fillId="0" borderId="16" xfId="117" applyNumberFormat="1" applyFont="1" applyFill="1" applyBorder="1" applyProtection="1"/>
    <xf numFmtId="0" fontId="54" fillId="27" borderId="0" xfId="0" applyFont="1" applyFill="1" applyAlignment="1">
      <alignment horizontal="left"/>
    </xf>
    <xf numFmtId="170" fontId="122" fillId="0" borderId="0" xfId="117" applyNumberFormat="1" applyFont="1" applyFill="1" applyAlignment="1" applyProtection="1">
      <alignment vertical="center"/>
    </xf>
    <xf numFmtId="0" fontId="1" fillId="0" borderId="22" xfId="0" applyFont="1" applyBorder="1" applyAlignment="1">
      <alignment horizontal="left"/>
    </xf>
    <xf numFmtId="37" fontId="1" fillId="0" borderId="0" xfId="117" applyNumberFormat="1" applyFont="1" applyFill="1" applyAlignment="1" applyProtection="1">
      <alignment vertical="center"/>
    </xf>
    <xf numFmtId="37" fontId="1" fillId="0" borderId="0" xfId="117" applyNumberFormat="1" applyBorder="1" applyAlignment="1" applyProtection="1">
      <alignment vertical="center"/>
    </xf>
    <xf numFmtId="0" fontId="7" fillId="0" borderId="0" xfId="0" quotePrefix="1" applyFont="1" applyAlignment="1">
      <alignment horizontal="left" vertical="center"/>
    </xf>
    <xf numFmtId="181" fontId="76" fillId="0" borderId="0" xfId="117" applyNumberFormat="1" applyFont="1" applyAlignment="1" applyProtection="1">
      <alignment vertical="center"/>
    </xf>
    <xf numFmtId="0" fontId="0" fillId="61" borderId="0" xfId="0" applyFill="1"/>
    <xf numFmtId="0" fontId="65" fillId="61" borderId="0" xfId="0" quotePrefix="1" applyFont="1" applyFill="1" applyAlignment="1">
      <alignment horizontal="center" wrapText="1"/>
    </xf>
    <xf numFmtId="0" fontId="39" fillId="62" borderId="25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10" fontId="7" fillId="0" borderId="13" xfId="0" applyNumberFormat="1" applyFont="1" applyBorder="1"/>
    <xf numFmtId="0" fontId="1" fillId="0" borderId="22" xfId="0" applyFont="1" applyBorder="1" applyAlignment="1">
      <alignment horizontal="center"/>
    </xf>
    <xf numFmtId="37" fontId="54" fillId="27" borderId="25" xfId="0" applyNumberFormat="1" applyFont="1" applyFill="1" applyBorder="1"/>
    <xf numFmtId="0" fontId="7" fillId="62" borderId="25" xfId="0" applyFont="1" applyFill="1" applyBorder="1" applyAlignment="1">
      <alignment horizontal="center"/>
    </xf>
    <xf numFmtId="170" fontId="39" fillId="0" borderId="24" xfId="117" applyNumberFormat="1" applyFont="1" applyFill="1" applyBorder="1" applyAlignment="1" applyProtection="1">
      <alignment horizontal="center"/>
    </xf>
    <xf numFmtId="170" fontId="39" fillId="0" borderId="17" xfId="117" applyNumberFormat="1" applyFont="1" applyFill="1" applyBorder="1" applyAlignment="1" applyProtection="1">
      <alignment horizontal="center"/>
    </xf>
    <xf numFmtId="170" fontId="39" fillId="0" borderId="57" xfId="117" applyNumberFormat="1" applyFont="1" applyBorder="1" applyAlignment="1" applyProtection="1">
      <alignment horizontal="center"/>
    </xf>
    <xf numFmtId="170" fontId="39" fillId="0" borderId="25" xfId="117" applyNumberFormat="1" applyFont="1" applyBorder="1" applyAlignment="1">
      <alignment horizontal="center"/>
    </xf>
    <xf numFmtId="170" fontId="54" fillId="27" borderId="14" xfId="117" applyNumberFormat="1" applyFont="1" applyFill="1" applyBorder="1" applyAlignment="1">
      <alignment horizontal="left"/>
    </xf>
    <xf numFmtId="170" fontId="1" fillId="0" borderId="0" xfId="0" applyNumberFormat="1" applyFont="1"/>
    <xf numFmtId="170" fontId="1" fillId="0" borderId="25" xfId="0" applyNumberFormat="1" applyFont="1" applyBorder="1"/>
    <xf numFmtId="170" fontId="1" fillId="0" borderId="25" xfId="117" applyNumberFormat="1" applyFont="1" applyBorder="1"/>
    <xf numFmtId="170" fontId="1" fillId="0" borderId="24" xfId="0" applyNumberFormat="1" applyFont="1" applyBorder="1"/>
    <xf numFmtId="171" fontId="1" fillId="0" borderId="25" xfId="0" applyNumberFormat="1" applyFont="1" applyBorder="1"/>
    <xf numFmtId="170" fontId="1" fillId="0" borderId="20" xfId="0" applyNumberFormat="1" applyFont="1" applyBorder="1"/>
    <xf numFmtId="37" fontId="1" fillId="0" borderId="0" xfId="117" applyNumberFormat="1" applyFill="1" applyAlignment="1" applyProtection="1">
      <alignment vertical="center"/>
    </xf>
    <xf numFmtId="37" fontId="1" fillId="0" borderId="0" xfId="117" applyNumberFormat="1" applyAlignment="1" applyProtection="1">
      <alignment vertical="center"/>
    </xf>
    <xf numFmtId="37" fontId="1" fillId="0" borderId="0" xfId="117" applyNumberFormat="1" applyFill="1" applyBorder="1" applyAlignment="1" applyProtection="1">
      <alignment vertical="center"/>
    </xf>
    <xf numFmtId="37" fontId="64" fillId="27" borderId="0" xfId="117" applyNumberFormat="1" applyFont="1" applyFill="1" applyAlignment="1" applyProtection="1">
      <alignment vertical="center"/>
    </xf>
    <xf numFmtId="37" fontId="1" fillId="0" borderId="0" xfId="117" applyNumberFormat="1" applyFont="1" applyFill="1" applyBorder="1" applyAlignment="1" applyProtection="1">
      <alignment vertical="center"/>
    </xf>
    <xf numFmtId="37" fontId="0" fillId="0" borderId="25" xfId="0" applyNumberFormat="1" applyBorder="1" applyAlignment="1">
      <alignment vertical="center"/>
    </xf>
    <xf numFmtId="37" fontId="0" fillId="0" borderId="14" xfId="0" applyNumberFormat="1" applyBorder="1"/>
    <xf numFmtId="37" fontId="0" fillId="0" borderId="16" xfId="0" applyNumberFormat="1" applyBorder="1"/>
    <xf numFmtId="37" fontId="0" fillId="0" borderId="19" xfId="0" applyNumberFormat="1" applyBorder="1"/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17" xfId="549" applyFont="1" applyBorder="1" applyAlignment="1" applyProtection="1">
      <alignment wrapText="1"/>
    </xf>
    <xf numFmtId="0" fontId="7" fillId="0" borderId="18" xfId="0" applyFont="1" applyBorder="1" applyAlignment="1">
      <alignment wrapText="1"/>
    </xf>
    <xf numFmtId="0" fontId="7" fillId="0" borderId="19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490" applyFont="1" applyAlignment="1">
      <alignment horizontal="center"/>
    </xf>
    <xf numFmtId="0" fontId="6" fillId="0" borderId="0" xfId="490" quotePrefix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73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2" xfId="4" builtinId="34" customBuiltin="1"/>
    <cellStyle name="20% - Accent2 2" xfId="5" xr:uid="{00000000-0005-0000-0000-000004000000}"/>
    <cellStyle name="20% - Accent2 2 2" xfId="6" xr:uid="{00000000-0005-0000-0000-000005000000}"/>
    <cellStyle name="20% - Accent3" xfId="7" builtinId="38" customBuiltin="1"/>
    <cellStyle name="20% - Accent3 2" xfId="8" xr:uid="{00000000-0005-0000-0000-000007000000}"/>
    <cellStyle name="20% - Accent3 2 2" xfId="9" xr:uid="{00000000-0005-0000-0000-000008000000}"/>
    <cellStyle name="20% - Accent4" xfId="10" builtinId="42" customBuiltin="1"/>
    <cellStyle name="20% - Accent4 2" xfId="11" xr:uid="{00000000-0005-0000-0000-00000A000000}"/>
    <cellStyle name="20% - Accent4 2 2" xfId="12" xr:uid="{00000000-0005-0000-0000-00000B000000}"/>
    <cellStyle name="20% - Accent5" xfId="13" builtinId="46" customBuiltin="1"/>
    <cellStyle name="20% - Accent5 2" xfId="14" xr:uid="{00000000-0005-0000-0000-00000D000000}"/>
    <cellStyle name="20% - Accent5 2 2" xfId="15" xr:uid="{00000000-0005-0000-0000-00000E000000}"/>
    <cellStyle name="20% - Accent6" xfId="16" builtinId="50" customBuiltin="1"/>
    <cellStyle name="20% - Accent6 2" xfId="17" xr:uid="{00000000-0005-0000-0000-000010000000}"/>
    <cellStyle name="20% - Accent6 2 2" xfId="18" xr:uid="{00000000-0005-0000-0000-000011000000}"/>
    <cellStyle name="40% - Accent1" xfId="19" builtinId="31" customBuiltin="1"/>
    <cellStyle name="40% - Accent1 2" xfId="20" xr:uid="{00000000-0005-0000-0000-000013000000}"/>
    <cellStyle name="40% - Accent1 2 2" xfId="21" xr:uid="{00000000-0005-0000-0000-000014000000}"/>
    <cellStyle name="40% - Accent2" xfId="22" builtinId="35" customBuiltin="1"/>
    <cellStyle name="40% - Accent2 2" xfId="23" xr:uid="{00000000-0005-0000-0000-000016000000}"/>
    <cellStyle name="40% - Accent2 2 2" xfId="24" xr:uid="{00000000-0005-0000-0000-000017000000}"/>
    <cellStyle name="40% - Accent3" xfId="25" builtinId="39" customBuiltin="1"/>
    <cellStyle name="40% - Accent3 2" xfId="26" xr:uid="{00000000-0005-0000-0000-000019000000}"/>
    <cellStyle name="40% - Accent3 2 2" xfId="27" xr:uid="{00000000-0005-0000-0000-00001A000000}"/>
    <cellStyle name="40% - Accent4" xfId="28" builtinId="43" customBuiltin="1"/>
    <cellStyle name="40% - Accent4 2" xfId="29" xr:uid="{00000000-0005-0000-0000-00001C000000}"/>
    <cellStyle name="40% - Accent4 2 2" xfId="30" xr:uid="{00000000-0005-0000-0000-00001D000000}"/>
    <cellStyle name="40% - Accent5" xfId="31" builtinId="47" customBuiltin="1"/>
    <cellStyle name="40% - Accent5 2" xfId="32" xr:uid="{00000000-0005-0000-0000-00001F000000}"/>
    <cellStyle name="40% - Accent5 2 2" xfId="33" xr:uid="{00000000-0005-0000-0000-000020000000}"/>
    <cellStyle name="40% - Accent6" xfId="34" builtinId="51" customBuiltin="1"/>
    <cellStyle name="40% - Accent6 2" xfId="35" xr:uid="{00000000-0005-0000-0000-000022000000}"/>
    <cellStyle name="40% - Accent6 2 2" xfId="36" xr:uid="{00000000-0005-0000-0000-000023000000}"/>
    <cellStyle name="60% - Accent1" xfId="37" builtinId="32" customBuiltin="1"/>
    <cellStyle name="60% - Accent1 2" xfId="38" xr:uid="{00000000-0005-0000-0000-000025000000}"/>
    <cellStyle name="60% - Accent1 2 2" xfId="39" xr:uid="{00000000-0005-0000-0000-000026000000}"/>
    <cellStyle name="60% - Accent2" xfId="40" builtinId="36" customBuiltin="1"/>
    <cellStyle name="60% - Accent2 2" xfId="41" xr:uid="{00000000-0005-0000-0000-000028000000}"/>
    <cellStyle name="60% - Accent2 2 2" xfId="42" xr:uid="{00000000-0005-0000-0000-000029000000}"/>
    <cellStyle name="60% - Accent3" xfId="43" builtinId="40" customBuiltin="1"/>
    <cellStyle name="60% - Accent3 2" xfId="44" xr:uid="{00000000-0005-0000-0000-00002B000000}"/>
    <cellStyle name="60% - Accent3 2 2" xfId="45" xr:uid="{00000000-0005-0000-0000-00002C000000}"/>
    <cellStyle name="60% - Accent4" xfId="46" builtinId="44" customBuiltin="1"/>
    <cellStyle name="60% - Accent4 2" xfId="47" xr:uid="{00000000-0005-0000-0000-00002E000000}"/>
    <cellStyle name="60% - Accent4 2 2" xfId="48" xr:uid="{00000000-0005-0000-0000-00002F000000}"/>
    <cellStyle name="60% - Accent5" xfId="49" builtinId="48" customBuiltin="1"/>
    <cellStyle name="60% - Accent5 2" xfId="50" xr:uid="{00000000-0005-0000-0000-000031000000}"/>
    <cellStyle name="60% - Accent5 2 2" xfId="51" xr:uid="{00000000-0005-0000-0000-000032000000}"/>
    <cellStyle name="60% - Accent6" xfId="52" builtinId="52" customBuiltin="1"/>
    <cellStyle name="60% - Accent6 2" xfId="53" xr:uid="{00000000-0005-0000-0000-000034000000}"/>
    <cellStyle name="60% - Accent6 2 2" xfId="54" xr:uid="{00000000-0005-0000-0000-000035000000}"/>
    <cellStyle name="Accent1" xfId="55" builtinId="29" customBuiltin="1"/>
    <cellStyle name="Accent1 2" xfId="56" xr:uid="{00000000-0005-0000-0000-000037000000}"/>
    <cellStyle name="Accent1 2 2" xfId="57" xr:uid="{00000000-0005-0000-0000-000038000000}"/>
    <cellStyle name="Accent2" xfId="58" builtinId="33" customBuiltin="1"/>
    <cellStyle name="Accent2 2" xfId="59" xr:uid="{00000000-0005-0000-0000-00003A000000}"/>
    <cellStyle name="Accent2 2 2" xfId="60" xr:uid="{00000000-0005-0000-0000-00003B000000}"/>
    <cellStyle name="Accent3" xfId="61" builtinId="37" customBuiltin="1"/>
    <cellStyle name="Accent3 2" xfId="62" xr:uid="{00000000-0005-0000-0000-00003D000000}"/>
    <cellStyle name="Accent3 2 2" xfId="63" xr:uid="{00000000-0005-0000-0000-00003E000000}"/>
    <cellStyle name="Accent4" xfId="64" builtinId="41" customBuiltin="1"/>
    <cellStyle name="Accent4 2" xfId="65" xr:uid="{00000000-0005-0000-0000-000040000000}"/>
    <cellStyle name="Accent4 2 2" xfId="66" xr:uid="{00000000-0005-0000-0000-000041000000}"/>
    <cellStyle name="Accent5" xfId="67" builtinId="45" customBuiltin="1"/>
    <cellStyle name="Accent5 2" xfId="68" xr:uid="{00000000-0005-0000-0000-000043000000}"/>
    <cellStyle name="Accent5 2 2" xfId="69" xr:uid="{00000000-0005-0000-0000-000044000000}"/>
    <cellStyle name="Accent6" xfId="70" builtinId="49" customBuiltin="1"/>
    <cellStyle name="Accent6 2" xfId="71" xr:uid="{00000000-0005-0000-0000-000046000000}"/>
    <cellStyle name="Accent6 2 2" xfId="72" xr:uid="{00000000-0005-0000-0000-000047000000}"/>
    <cellStyle name="Bad" xfId="73" builtinId="27" customBuiltin="1"/>
    <cellStyle name="Bad 2" xfId="74" xr:uid="{00000000-0005-0000-0000-000049000000}"/>
    <cellStyle name="Bad 2 2" xfId="75" xr:uid="{00000000-0005-0000-0000-00004A000000}"/>
    <cellStyle name="C00A" xfId="76" xr:uid="{00000000-0005-0000-0000-00004B000000}"/>
    <cellStyle name="C00B" xfId="77" xr:uid="{00000000-0005-0000-0000-00004C000000}"/>
    <cellStyle name="C00L" xfId="78" xr:uid="{00000000-0005-0000-0000-00004D000000}"/>
    <cellStyle name="C01A" xfId="79" xr:uid="{00000000-0005-0000-0000-00004E000000}"/>
    <cellStyle name="C01B" xfId="80" xr:uid="{00000000-0005-0000-0000-00004F000000}"/>
    <cellStyle name="C01B 2" xfId="81" xr:uid="{00000000-0005-0000-0000-000050000000}"/>
    <cellStyle name="C01H" xfId="82" xr:uid="{00000000-0005-0000-0000-000051000000}"/>
    <cellStyle name="C01L" xfId="83" xr:uid="{00000000-0005-0000-0000-000052000000}"/>
    <cellStyle name="C02A" xfId="84" xr:uid="{00000000-0005-0000-0000-000053000000}"/>
    <cellStyle name="C02B" xfId="85" xr:uid="{00000000-0005-0000-0000-000054000000}"/>
    <cellStyle name="C02B 2" xfId="86" xr:uid="{00000000-0005-0000-0000-000055000000}"/>
    <cellStyle name="C02H" xfId="87" xr:uid="{00000000-0005-0000-0000-000056000000}"/>
    <cellStyle name="C02L" xfId="88" xr:uid="{00000000-0005-0000-0000-000057000000}"/>
    <cellStyle name="C03A" xfId="89" xr:uid="{00000000-0005-0000-0000-000058000000}"/>
    <cellStyle name="C03B" xfId="90" xr:uid="{00000000-0005-0000-0000-000059000000}"/>
    <cellStyle name="C03H" xfId="91" xr:uid="{00000000-0005-0000-0000-00005A000000}"/>
    <cellStyle name="C03L" xfId="92" xr:uid="{00000000-0005-0000-0000-00005B000000}"/>
    <cellStyle name="C04A" xfId="93" xr:uid="{00000000-0005-0000-0000-00005C000000}"/>
    <cellStyle name="C04A 2" xfId="94" xr:uid="{00000000-0005-0000-0000-00005D000000}"/>
    <cellStyle name="C04B" xfId="95" xr:uid="{00000000-0005-0000-0000-00005E000000}"/>
    <cellStyle name="C04H" xfId="96" xr:uid="{00000000-0005-0000-0000-00005F000000}"/>
    <cellStyle name="C04L" xfId="97" xr:uid="{00000000-0005-0000-0000-000060000000}"/>
    <cellStyle name="C05A" xfId="98" xr:uid="{00000000-0005-0000-0000-000061000000}"/>
    <cellStyle name="C05B" xfId="99" xr:uid="{00000000-0005-0000-0000-000062000000}"/>
    <cellStyle name="C05H" xfId="100" xr:uid="{00000000-0005-0000-0000-000063000000}"/>
    <cellStyle name="C05L" xfId="101" xr:uid="{00000000-0005-0000-0000-000064000000}"/>
    <cellStyle name="C05L 2" xfId="102" xr:uid="{00000000-0005-0000-0000-000065000000}"/>
    <cellStyle name="C06A" xfId="103" xr:uid="{00000000-0005-0000-0000-000066000000}"/>
    <cellStyle name="C06B" xfId="104" xr:uid="{00000000-0005-0000-0000-000067000000}"/>
    <cellStyle name="C06H" xfId="105" xr:uid="{00000000-0005-0000-0000-000068000000}"/>
    <cellStyle name="C06L" xfId="106" xr:uid="{00000000-0005-0000-0000-000069000000}"/>
    <cellStyle name="C07A" xfId="107" xr:uid="{00000000-0005-0000-0000-00006A000000}"/>
    <cellStyle name="C07B" xfId="108" xr:uid="{00000000-0005-0000-0000-00006B000000}"/>
    <cellStyle name="C07H" xfId="109" xr:uid="{00000000-0005-0000-0000-00006C000000}"/>
    <cellStyle name="C07L" xfId="110" xr:uid="{00000000-0005-0000-0000-00006D000000}"/>
    <cellStyle name="Calculation" xfId="111" builtinId="22" customBuiltin="1"/>
    <cellStyle name="Calculation 2" xfId="112" xr:uid="{00000000-0005-0000-0000-00006F000000}"/>
    <cellStyle name="Calculation 2 2" xfId="113" xr:uid="{00000000-0005-0000-0000-000070000000}"/>
    <cellStyle name="Check Cell" xfId="114" builtinId="23" customBuiltin="1"/>
    <cellStyle name="Check Cell 2" xfId="115" xr:uid="{00000000-0005-0000-0000-000072000000}"/>
    <cellStyle name="Check Cell 2 2" xfId="116" xr:uid="{00000000-0005-0000-0000-000073000000}"/>
    <cellStyle name="Comma" xfId="117" builtinId="3"/>
    <cellStyle name="Comma [0] 2" xfId="118" xr:uid="{00000000-0005-0000-0000-000075000000}"/>
    <cellStyle name="Comma [0] 2 2" xfId="119" xr:uid="{00000000-0005-0000-0000-000076000000}"/>
    <cellStyle name="Comma 10" xfId="120" xr:uid="{00000000-0005-0000-0000-000077000000}"/>
    <cellStyle name="Comma 11" xfId="121" xr:uid="{00000000-0005-0000-0000-000078000000}"/>
    <cellStyle name="Comma 12" xfId="122" xr:uid="{00000000-0005-0000-0000-000079000000}"/>
    <cellStyle name="Comma 13" xfId="123" xr:uid="{00000000-0005-0000-0000-00007A000000}"/>
    <cellStyle name="Comma 14" xfId="124" xr:uid="{00000000-0005-0000-0000-00007B000000}"/>
    <cellStyle name="Comma 15" xfId="125" xr:uid="{00000000-0005-0000-0000-00007C000000}"/>
    <cellStyle name="Comma 16" xfId="126" xr:uid="{00000000-0005-0000-0000-00007D000000}"/>
    <cellStyle name="Comma 17" xfId="127" xr:uid="{00000000-0005-0000-0000-00007E000000}"/>
    <cellStyle name="Comma 18" xfId="128" xr:uid="{00000000-0005-0000-0000-00007F000000}"/>
    <cellStyle name="Comma 19" xfId="129" xr:uid="{00000000-0005-0000-0000-000080000000}"/>
    <cellStyle name="Comma 2" xfId="130" xr:uid="{00000000-0005-0000-0000-000081000000}"/>
    <cellStyle name="Comma 2 2" xfId="131" xr:uid="{00000000-0005-0000-0000-000082000000}"/>
    <cellStyle name="Comma 2 2 2" xfId="132" xr:uid="{00000000-0005-0000-0000-000083000000}"/>
    <cellStyle name="Comma 2 3" xfId="133" xr:uid="{00000000-0005-0000-0000-000084000000}"/>
    <cellStyle name="Comma 2 3 2" xfId="134" xr:uid="{00000000-0005-0000-0000-000085000000}"/>
    <cellStyle name="Comma 2 3 3" xfId="135" xr:uid="{00000000-0005-0000-0000-000086000000}"/>
    <cellStyle name="Comma 2 3 4" xfId="136" xr:uid="{00000000-0005-0000-0000-000087000000}"/>
    <cellStyle name="Comma 2 4" xfId="137" xr:uid="{00000000-0005-0000-0000-000088000000}"/>
    <cellStyle name="Comma 20" xfId="138" xr:uid="{00000000-0005-0000-0000-000089000000}"/>
    <cellStyle name="Comma 21" xfId="139" xr:uid="{00000000-0005-0000-0000-00008A000000}"/>
    <cellStyle name="Comma 22" xfId="140" xr:uid="{00000000-0005-0000-0000-00008B000000}"/>
    <cellStyle name="Comma 23" xfId="141" xr:uid="{00000000-0005-0000-0000-00008C000000}"/>
    <cellStyle name="Comma 24" xfId="142" xr:uid="{00000000-0005-0000-0000-00008D000000}"/>
    <cellStyle name="Comma 25" xfId="143" xr:uid="{00000000-0005-0000-0000-00008E000000}"/>
    <cellStyle name="Comma 25 2" xfId="144" xr:uid="{00000000-0005-0000-0000-00008F000000}"/>
    <cellStyle name="Comma 26" xfId="145" xr:uid="{00000000-0005-0000-0000-000090000000}"/>
    <cellStyle name="Comma 26 2" xfId="146" xr:uid="{00000000-0005-0000-0000-000091000000}"/>
    <cellStyle name="Comma 27" xfId="147" xr:uid="{00000000-0005-0000-0000-000092000000}"/>
    <cellStyle name="Comma 27 2" xfId="148" xr:uid="{00000000-0005-0000-0000-000093000000}"/>
    <cellStyle name="Comma 28" xfId="149" xr:uid="{00000000-0005-0000-0000-000094000000}"/>
    <cellStyle name="Comma 28 2" xfId="150" xr:uid="{00000000-0005-0000-0000-000095000000}"/>
    <cellStyle name="Comma 29" xfId="151" xr:uid="{00000000-0005-0000-0000-000096000000}"/>
    <cellStyle name="Comma 29 2" xfId="152" xr:uid="{00000000-0005-0000-0000-000097000000}"/>
    <cellStyle name="Comma 3" xfId="153" xr:uid="{00000000-0005-0000-0000-000098000000}"/>
    <cellStyle name="Comma 3 2" xfId="154" xr:uid="{00000000-0005-0000-0000-000099000000}"/>
    <cellStyle name="Comma 3 2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3" xfId="159" xr:uid="{00000000-0005-0000-0000-00009E000000}"/>
    <cellStyle name="Comma 3 3 3" xfId="160" xr:uid="{00000000-0005-0000-0000-00009F000000}"/>
    <cellStyle name="Comma 3 3 3 2" xfId="161" xr:uid="{00000000-0005-0000-0000-0000A0000000}"/>
    <cellStyle name="Comma 3 3 3 2 2" xfId="162" xr:uid="{00000000-0005-0000-0000-0000A1000000}"/>
    <cellStyle name="Comma 3 3 3 2 3" xfId="163" xr:uid="{00000000-0005-0000-0000-0000A2000000}"/>
    <cellStyle name="Comma 3 3 3 2 4" xfId="164" xr:uid="{00000000-0005-0000-0000-0000A3000000}"/>
    <cellStyle name="Comma 3 3 3 3" xfId="165" xr:uid="{00000000-0005-0000-0000-0000A4000000}"/>
    <cellStyle name="Comma 3 3 4" xfId="166" xr:uid="{00000000-0005-0000-0000-0000A5000000}"/>
    <cellStyle name="Comma 3 3 5" xfId="167" xr:uid="{00000000-0005-0000-0000-0000A6000000}"/>
    <cellStyle name="Comma 3 3 5 2" xfId="168" xr:uid="{00000000-0005-0000-0000-0000A7000000}"/>
    <cellStyle name="Comma 3 3 5 3" xfId="169" xr:uid="{00000000-0005-0000-0000-0000A8000000}"/>
    <cellStyle name="Comma 3 3 5 4" xfId="170" xr:uid="{00000000-0005-0000-0000-0000A9000000}"/>
    <cellStyle name="Comma 3 4" xfId="171" xr:uid="{00000000-0005-0000-0000-0000AA000000}"/>
    <cellStyle name="Comma 3 4 2" xfId="172" xr:uid="{00000000-0005-0000-0000-0000AB000000}"/>
    <cellStyle name="Comma 3 4 3" xfId="173" xr:uid="{00000000-0005-0000-0000-0000AC000000}"/>
    <cellStyle name="Comma 3 4 4" xfId="174" xr:uid="{00000000-0005-0000-0000-0000AD000000}"/>
    <cellStyle name="Comma 3 4 4 2" xfId="175" xr:uid="{00000000-0005-0000-0000-0000AE000000}"/>
    <cellStyle name="Comma 3 4 4 3" xfId="176" xr:uid="{00000000-0005-0000-0000-0000AF000000}"/>
    <cellStyle name="Comma 3 4 4 4" xfId="177" xr:uid="{00000000-0005-0000-0000-0000B0000000}"/>
    <cellStyle name="Comma 3 4 5" xfId="178" xr:uid="{00000000-0005-0000-0000-0000B1000000}"/>
    <cellStyle name="Comma 3 5" xfId="179" xr:uid="{00000000-0005-0000-0000-0000B2000000}"/>
    <cellStyle name="Comma 3 5 2" xfId="180" xr:uid="{00000000-0005-0000-0000-0000B3000000}"/>
    <cellStyle name="Comma 3 6" xfId="181" xr:uid="{00000000-0005-0000-0000-0000B4000000}"/>
    <cellStyle name="Comma 3 7" xfId="182" xr:uid="{00000000-0005-0000-0000-0000B5000000}"/>
    <cellStyle name="Comma 3 8" xfId="183" xr:uid="{00000000-0005-0000-0000-0000B6000000}"/>
    <cellStyle name="Comma 30" xfId="184" xr:uid="{00000000-0005-0000-0000-0000B7000000}"/>
    <cellStyle name="Comma 31" xfId="185" xr:uid="{00000000-0005-0000-0000-0000B8000000}"/>
    <cellStyle name="Comma 32" xfId="186" xr:uid="{00000000-0005-0000-0000-0000B9000000}"/>
    <cellStyle name="Comma 33" xfId="187" xr:uid="{00000000-0005-0000-0000-0000BA000000}"/>
    <cellStyle name="Comma 34" xfId="188" xr:uid="{00000000-0005-0000-0000-0000BB000000}"/>
    <cellStyle name="Comma 35" xfId="189" xr:uid="{00000000-0005-0000-0000-0000BC000000}"/>
    <cellStyle name="Comma 36" xfId="190" xr:uid="{00000000-0005-0000-0000-0000BD000000}"/>
    <cellStyle name="Comma 37" xfId="191" xr:uid="{00000000-0005-0000-0000-0000BE000000}"/>
    <cellStyle name="Comma 38" xfId="192" xr:uid="{00000000-0005-0000-0000-0000BF000000}"/>
    <cellStyle name="Comma 39" xfId="193" xr:uid="{00000000-0005-0000-0000-0000C0000000}"/>
    <cellStyle name="Comma 4" xfId="194" xr:uid="{00000000-0005-0000-0000-0000C1000000}"/>
    <cellStyle name="Comma 4 2" xfId="195" xr:uid="{00000000-0005-0000-0000-0000C2000000}"/>
    <cellStyle name="Comma 4 2 2" xfId="196" xr:uid="{00000000-0005-0000-0000-0000C3000000}"/>
    <cellStyle name="Comma 4 2 2 2" xfId="197" xr:uid="{00000000-0005-0000-0000-0000C4000000}"/>
    <cellStyle name="Comma 4 2 2 3" xfId="198" xr:uid="{00000000-0005-0000-0000-0000C5000000}"/>
    <cellStyle name="Comma 4 2 2 4" xfId="199" xr:uid="{00000000-0005-0000-0000-0000C6000000}"/>
    <cellStyle name="Comma 4 2 3" xfId="200" xr:uid="{00000000-0005-0000-0000-0000C7000000}"/>
    <cellStyle name="Comma 4 2 3 2" xfId="201" xr:uid="{00000000-0005-0000-0000-0000C8000000}"/>
    <cellStyle name="Comma 4 2 3 2 2" xfId="202" xr:uid="{00000000-0005-0000-0000-0000C9000000}"/>
    <cellStyle name="Comma 4 2 3 3" xfId="203" xr:uid="{00000000-0005-0000-0000-0000CA000000}"/>
    <cellStyle name="Comma 4 2 3 3 2" xfId="204" xr:uid="{00000000-0005-0000-0000-0000CB000000}"/>
    <cellStyle name="Comma 4 2 3 4" xfId="205" xr:uid="{00000000-0005-0000-0000-0000CC000000}"/>
    <cellStyle name="Comma 4 2 4" xfId="206" xr:uid="{00000000-0005-0000-0000-0000CD000000}"/>
    <cellStyle name="Comma 4 2 4 2" xfId="207" xr:uid="{00000000-0005-0000-0000-0000CE000000}"/>
    <cellStyle name="Comma 4 2 4 3" xfId="208" xr:uid="{00000000-0005-0000-0000-0000CF000000}"/>
    <cellStyle name="Comma 4 2 4 4" xfId="209" xr:uid="{00000000-0005-0000-0000-0000D0000000}"/>
    <cellStyle name="Comma 4 2 5" xfId="210" xr:uid="{00000000-0005-0000-0000-0000D1000000}"/>
    <cellStyle name="Comma 4 3" xfId="211" xr:uid="{00000000-0005-0000-0000-0000D2000000}"/>
    <cellStyle name="Comma 4 3 2" xfId="212" xr:uid="{00000000-0005-0000-0000-0000D3000000}"/>
    <cellStyle name="Comma 4 3 2 2" xfId="213" xr:uid="{00000000-0005-0000-0000-0000D4000000}"/>
    <cellStyle name="Comma 4 3 2 2 2" xfId="214" xr:uid="{00000000-0005-0000-0000-0000D5000000}"/>
    <cellStyle name="Comma 4 3 2 3" xfId="215" xr:uid="{00000000-0005-0000-0000-0000D6000000}"/>
    <cellStyle name="Comma 4 3 2 3 2" xfId="216" xr:uid="{00000000-0005-0000-0000-0000D7000000}"/>
    <cellStyle name="Comma 4 3 2 4" xfId="217" xr:uid="{00000000-0005-0000-0000-0000D8000000}"/>
    <cellStyle name="Comma 4 3 3" xfId="218" xr:uid="{00000000-0005-0000-0000-0000D9000000}"/>
    <cellStyle name="Comma 4 3 4" xfId="219" xr:uid="{00000000-0005-0000-0000-0000DA000000}"/>
    <cellStyle name="Comma 4 3 4 2" xfId="220" xr:uid="{00000000-0005-0000-0000-0000DB000000}"/>
    <cellStyle name="Comma 4 3 4 3" xfId="221" xr:uid="{00000000-0005-0000-0000-0000DC000000}"/>
    <cellStyle name="Comma 4 3 5" xfId="222" xr:uid="{00000000-0005-0000-0000-0000DD000000}"/>
    <cellStyle name="Comma 4 3 5 2" xfId="223" xr:uid="{00000000-0005-0000-0000-0000DE000000}"/>
    <cellStyle name="Comma 4 3 6" xfId="224" xr:uid="{00000000-0005-0000-0000-0000DF000000}"/>
    <cellStyle name="Comma 4 3 6 2" xfId="225" xr:uid="{00000000-0005-0000-0000-0000E0000000}"/>
    <cellStyle name="Comma 4 4" xfId="226" xr:uid="{00000000-0005-0000-0000-0000E1000000}"/>
    <cellStyle name="Comma 4 4 2" xfId="227" xr:uid="{00000000-0005-0000-0000-0000E2000000}"/>
    <cellStyle name="Comma 4 4 3" xfId="228" xr:uid="{00000000-0005-0000-0000-0000E3000000}"/>
    <cellStyle name="Comma 4 4 4" xfId="229" xr:uid="{00000000-0005-0000-0000-0000E4000000}"/>
    <cellStyle name="Comma 4 5" xfId="230" xr:uid="{00000000-0005-0000-0000-0000E5000000}"/>
    <cellStyle name="Comma 4 5 2" xfId="231" xr:uid="{00000000-0005-0000-0000-0000E6000000}"/>
    <cellStyle name="Comma 4 6" xfId="232" xr:uid="{00000000-0005-0000-0000-0000E7000000}"/>
    <cellStyle name="Comma 40" xfId="233" xr:uid="{00000000-0005-0000-0000-0000E8000000}"/>
    <cellStyle name="Comma 41" xfId="234" xr:uid="{00000000-0005-0000-0000-0000E9000000}"/>
    <cellStyle name="Comma 42" xfId="235" xr:uid="{00000000-0005-0000-0000-0000EA000000}"/>
    <cellStyle name="Comma 43" xfId="236" xr:uid="{00000000-0005-0000-0000-0000EB000000}"/>
    <cellStyle name="Comma 44" xfId="237" xr:uid="{00000000-0005-0000-0000-0000EC000000}"/>
    <cellStyle name="Comma 45" xfId="238" xr:uid="{00000000-0005-0000-0000-0000ED000000}"/>
    <cellStyle name="Comma 46" xfId="239" xr:uid="{00000000-0005-0000-0000-0000EE000000}"/>
    <cellStyle name="Comma 47" xfId="240" xr:uid="{00000000-0005-0000-0000-0000EF000000}"/>
    <cellStyle name="Comma 48" xfId="241" xr:uid="{00000000-0005-0000-0000-0000F0000000}"/>
    <cellStyle name="Comma 49" xfId="242" xr:uid="{00000000-0005-0000-0000-0000F1000000}"/>
    <cellStyle name="Comma 5" xfId="243" xr:uid="{00000000-0005-0000-0000-0000F2000000}"/>
    <cellStyle name="Comma 5 2" xfId="244" xr:uid="{00000000-0005-0000-0000-0000F3000000}"/>
    <cellStyle name="Comma 5 2 2" xfId="245" xr:uid="{00000000-0005-0000-0000-0000F4000000}"/>
    <cellStyle name="Comma 5 2 3" xfId="246" xr:uid="{00000000-0005-0000-0000-0000F5000000}"/>
    <cellStyle name="Comma 5 3" xfId="247" xr:uid="{00000000-0005-0000-0000-0000F6000000}"/>
    <cellStyle name="Comma 50" xfId="248" xr:uid="{00000000-0005-0000-0000-0000F7000000}"/>
    <cellStyle name="Comma 51" xfId="249" xr:uid="{00000000-0005-0000-0000-0000F8000000}"/>
    <cellStyle name="Comma 52" xfId="250" xr:uid="{00000000-0005-0000-0000-0000F9000000}"/>
    <cellStyle name="Comma 52 2" xfId="251" xr:uid="{00000000-0005-0000-0000-0000FA000000}"/>
    <cellStyle name="Comma 53" xfId="252" xr:uid="{00000000-0005-0000-0000-0000FB000000}"/>
    <cellStyle name="Comma 54" xfId="253" xr:uid="{00000000-0005-0000-0000-0000FC000000}"/>
    <cellStyle name="Comma 55" xfId="254" xr:uid="{00000000-0005-0000-0000-0000FD000000}"/>
    <cellStyle name="Comma 56" xfId="255" xr:uid="{00000000-0005-0000-0000-0000FE000000}"/>
    <cellStyle name="Comma 57" xfId="256" xr:uid="{00000000-0005-0000-0000-0000FF000000}"/>
    <cellStyle name="Comma 57 2" xfId="257" xr:uid="{00000000-0005-0000-0000-000000010000}"/>
    <cellStyle name="Comma 57 3" xfId="258" xr:uid="{00000000-0005-0000-0000-000001010000}"/>
    <cellStyle name="Comma 57 4" xfId="259" xr:uid="{00000000-0005-0000-0000-000002010000}"/>
    <cellStyle name="Comma 58" xfId="260" xr:uid="{00000000-0005-0000-0000-000003010000}"/>
    <cellStyle name="Comma 58 2" xfId="261" xr:uid="{00000000-0005-0000-0000-000004010000}"/>
    <cellStyle name="Comma 58 3" xfId="262" xr:uid="{00000000-0005-0000-0000-000005010000}"/>
    <cellStyle name="Comma 58 4" xfId="263" xr:uid="{00000000-0005-0000-0000-000006010000}"/>
    <cellStyle name="Comma 59" xfId="264" xr:uid="{00000000-0005-0000-0000-000007010000}"/>
    <cellStyle name="Comma 59 2" xfId="265" xr:uid="{00000000-0005-0000-0000-000008010000}"/>
    <cellStyle name="Comma 59 3" xfId="266" xr:uid="{00000000-0005-0000-0000-000009010000}"/>
    <cellStyle name="Comma 59 4" xfId="267" xr:uid="{00000000-0005-0000-0000-00000A010000}"/>
    <cellStyle name="Comma 6" xfId="268" xr:uid="{00000000-0005-0000-0000-00000B010000}"/>
    <cellStyle name="Comma 6 2" xfId="269" xr:uid="{00000000-0005-0000-0000-00000C010000}"/>
    <cellStyle name="Comma 6 3" xfId="270" xr:uid="{00000000-0005-0000-0000-00000D010000}"/>
    <cellStyle name="Comma 6 4" xfId="271" xr:uid="{00000000-0005-0000-0000-00000E010000}"/>
    <cellStyle name="Comma 6 4 2" xfId="272" xr:uid="{00000000-0005-0000-0000-00000F010000}"/>
    <cellStyle name="Comma 6 4 3" xfId="273" xr:uid="{00000000-0005-0000-0000-000010010000}"/>
    <cellStyle name="Comma 6 4 4" xfId="274" xr:uid="{00000000-0005-0000-0000-000011010000}"/>
    <cellStyle name="Comma 6 5" xfId="275" xr:uid="{00000000-0005-0000-0000-000012010000}"/>
    <cellStyle name="Comma 60" xfId="276" xr:uid="{00000000-0005-0000-0000-000013010000}"/>
    <cellStyle name="Comma 60 2" xfId="277" xr:uid="{00000000-0005-0000-0000-000014010000}"/>
    <cellStyle name="Comma 60 3" xfId="278" xr:uid="{00000000-0005-0000-0000-000015010000}"/>
    <cellStyle name="Comma 60 4" xfId="279" xr:uid="{00000000-0005-0000-0000-000016010000}"/>
    <cellStyle name="Comma 61" xfId="280" xr:uid="{00000000-0005-0000-0000-000017010000}"/>
    <cellStyle name="Comma 61 2" xfId="281" xr:uid="{00000000-0005-0000-0000-000018010000}"/>
    <cellStyle name="Comma 61 3" xfId="282" xr:uid="{00000000-0005-0000-0000-000019010000}"/>
    <cellStyle name="Comma 61 4" xfId="283" xr:uid="{00000000-0005-0000-0000-00001A010000}"/>
    <cellStyle name="Comma 62" xfId="284" xr:uid="{00000000-0005-0000-0000-00001B010000}"/>
    <cellStyle name="Comma 62 2" xfId="285" xr:uid="{00000000-0005-0000-0000-00001C010000}"/>
    <cellStyle name="Comma 62 3" xfId="286" xr:uid="{00000000-0005-0000-0000-00001D010000}"/>
    <cellStyle name="Comma 63" xfId="287" xr:uid="{00000000-0005-0000-0000-00001E010000}"/>
    <cellStyle name="Comma 63 2" xfId="288" xr:uid="{00000000-0005-0000-0000-00001F010000}"/>
    <cellStyle name="Comma 63 3" xfId="289" xr:uid="{00000000-0005-0000-0000-000020010000}"/>
    <cellStyle name="Comma 64" xfId="290" xr:uid="{00000000-0005-0000-0000-000021010000}"/>
    <cellStyle name="Comma 64 2" xfId="291" xr:uid="{00000000-0005-0000-0000-000022010000}"/>
    <cellStyle name="Comma 64 3" xfId="292" xr:uid="{00000000-0005-0000-0000-000023010000}"/>
    <cellStyle name="Comma 65" xfId="293" xr:uid="{00000000-0005-0000-0000-000024010000}"/>
    <cellStyle name="Comma 65 2" xfId="294" xr:uid="{00000000-0005-0000-0000-000025010000}"/>
    <cellStyle name="Comma 65 3" xfId="295" xr:uid="{00000000-0005-0000-0000-000026010000}"/>
    <cellStyle name="Comma 66" xfId="296" xr:uid="{00000000-0005-0000-0000-000027010000}"/>
    <cellStyle name="Comma 66 2" xfId="297" xr:uid="{00000000-0005-0000-0000-000028010000}"/>
    <cellStyle name="Comma 66 3" xfId="298" xr:uid="{00000000-0005-0000-0000-000029010000}"/>
    <cellStyle name="Comma 67" xfId="299" xr:uid="{00000000-0005-0000-0000-00002A010000}"/>
    <cellStyle name="Comma 67 2" xfId="300" xr:uid="{00000000-0005-0000-0000-00002B010000}"/>
    <cellStyle name="Comma 67 3" xfId="301" xr:uid="{00000000-0005-0000-0000-00002C010000}"/>
    <cellStyle name="Comma 68" xfId="302" xr:uid="{00000000-0005-0000-0000-00002D010000}"/>
    <cellStyle name="Comma 68 2" xfId="303" xr:uid="{00000000-0005-0000-0000-00002E010000}"/>
    <cellStyle name="Comma 68 3" xfId="304" xr:uid="{00000000-0005-0000-0000-00002F010000}"/>
    <cellStyle name="Comma 69" xfId="305" xr:uid="{00000000-0005-0000-0000-000030010000}"/>
    <cellStyle name="Comma 69 2" xfId="306" xr:uid="{00000000-0005-0000-0000-000031010000}"/>
    <cellStyle name="Comma 7" xfId="307" xr:uid="{00000000-0005-0000-0000-000032010000}"/>
    <cellStyle name="Comma 7 2" xfId="308" xr:uid="{00000000-0005-0000-0000-000033010000}"/>
    <cellStyle name="Comma 70" xfId="309" xr:uid="{00000000-0005-0000-0000-000034010000}"/>
    <cellStyle name="Comma 70 2" xfId="310" xr:uid="{00000000-0005-0000-0000-000035010000}"/>
    <cellStyle name="Comma 71" xfId="311" xr:uid="{00000000-0005-0000-0000-000036010000}"/>
    <cellStyle name="Comma 71 2" xfId="312" xr:uid="{00000000-0005-0000-0000-000037010000}"/>
    <cellStyle name="Comma 72" xfId="313" xr:uid="{00000000-0005-0000-0000-000038010000}"/>
    <cellStyle name="Comma 73" xfId="314" xr:uid="{00000000-0005-0000-0000-000039010000}"/>
    <cellStyle name="Comma 74" xfId="315" xr:uid="{00000000-0005-0000-0000-00003A010000}"/>
    <cellStyle name="Comma 75" xfId="316" xr:uid="{00000000-0005-0000-0000-00003B010000}"/>
    <cellStyle name="Comma 76" xfId="317" xr:uid="{00000000-0005-0000-0000-00003C010000}"/>
    <cellStyle name="Comma 8" xfId="318" xr:uid="{00000000-0005-0000-0000-00003D010000}"/>
    <cellStyle name="Comma 9" xfId="319" xr:uid="{00000000-0005-0000-0000-00003E010000}"/>
    <cellStyle name="Comma0" xfId="320" xr:uid="{00000000-0005-0000-0000-00003F010000}"/>
    <cellStyle name="Comma0 2" xfId="321" xr:uid="{00000000-0005-0000-0000-000040010000}"/>
    <cellStyle name="Comma0 2 2" xfId="322" xr:uid="{00000000-0005-0000-0000-000041010000}"/>
    <cellStyle name="Comma0 2 3" xfId="323" xr:uid="{00000000-0005-0000-0000-000042010000}"/>
    <cellStyle name="Comma0 2 4" xfId="324" xr:uid="{00000000-0005-0000-0000-000043010000}"/>
    <cellStyle name="Comma0 2 5" xfId="325" xr:uid="{00000000-0005-0000-0000-000044010000}"/>
    <cellStyle name="Comma0 3" xfId="326" xr:uid="{00000000-0005-0000-0000-000045010000}"/>
    <cellStyle name="Currency" xfId="327" builtinId="4"/>
    <cellStyle name="Currency 2" xfId="328" xr:uid="{00000000-0005-0000-0000-000047010000}"/>
    <cellStyle name="Currency 2 2" xfId="329" xr:uid="{00000000-0005-0000-0000-000048010000}"/>
    <cellStyle name="Currency 2 2 2" xfId="330" xr:uid="{00000000-0005-0000-0000-000049010000}"/>
    <cellStyle name="Currency 2 3" xfId="331" xr:uid="{00000000-0005-0000-0000-00004A010000}"/>
    <cellStyle name="Currency 3" xfId="332" xr:uid="{00000000-0005-0000-0000-00004B010000}"/>
    <cellStyle name="Currency 3 2" xfId="333" xr:uid="{00000000-0005-0000-0000-00004C010000}"/>
    <cellStyle name="Currency 3 2 2" xfId="334" xr:uid="{00000000-0005-0000-0000-00004D010000}"/>
    <cellStyle name="Currency 3 3" xfId="335" xr:uid="{00000000-0005-0000-0000-00004E010000}"/>
    <cellStyle name="Currency 3 3 2" xfId="336" xr:uid="{00000000-0005-0000-0000-00004F010000}"/>
    <cellStyle name="Currency 3 3 2 2" xfId="337" xr:uid="{00000000-0005-0000-0000-000050010000}"/>
    <cellStyle name="Currency 3 3 2 3" xfId="338" xr:uid="{00000000-0005-0000-0000-000051010000}"/>
    <cellStyle name="Currency 3 3 3" xfId="339" xr:uid="{00000000-0005-0000-0000-000052010000}"/>
    <cellStyle name="Currency 3 3 3 2" xfId="340" xr:uid="{00000000-0005-0000-0000-000053010000}"/>
    <cellStyle name="Currency 3 3 3 2 2" xfId="341" xr:uid="{00000000-0005-0000-0000-000054010000}"/>
    <cellStyle name="Currency 3 3 3 2 3" xfId="342" xr:uid="{00000000-0005-0000-0000-000055010000}"/>
    <cellStyle name="Currency 3 3 3 2 4" xfId="343" xr:uid="{00000000-0005-0000-0000-000056010000}"/>
    <cellStyle name="Currency 3 3 3 3" xfId="344" xr:uid="{00000000-0005-0000-0000-000057010000}"/>
    <cellStyle name="Currency 3 3 4" xfId="345" xr:uid="{00000000-0005-0000-0000-000058010000}"/>
    <cellStyle name="Currency 3 3 5" xfId="346" xr:uid="{00000000-0005-0000-0000-000059010000}"/>
    <cellStyle name="Currency 3 3 5 2" xfId="347" xr:uid="{00000000-0005-0000-0000-00005A010000}"/>
    <cellStyle name="Currency 3 3 5 3" xfId="348" xr:uid="{00000000-0005-0000-0000-00005B010000}"/>
    <cellStyle name="Currency 3 3 5 4" xfId="349" xr:uid="{00000000-0005-0000-0000-00005C010000}"/>
    <cellStyle name="Currency 3 4" xfId="350" xr:uid="{00000000-0005-0000-0000-00005D010000}"/>
    <cellStyle name="Currency 3 4 2" xfId="351" xr:uid="{00000000-0005-0000-0000-00005E010000}"/>
    <cellStyle name="Currency 3 4 3" xfId="352" xr:uid="{00000000-0005-0000-0000-00005F010000}"/>
    <cellStyle name="Currency 3 4 4" xfId="353" xr:uid="{00000000-0005-0000-0000-000060010000}"/>
    <cellStyle name="Currency 3 4 4 2" xfId="354" xr:uid="{00000000-0005-0000-0000-000061010000}"/>
    <cellStyle name="Currency 3 4 4 3" xfId="355" xr:uid="{00000000-0005-0000-0000-000062010000}"/>
    <cellStyle name="Currency 3 4 4 4" xfId="356" xr:uid="{00000000-0005-0000-0000-000063010000}"/>
    <cellStyle name="Currency 3 4 5" xfId="357" xr:uid="{00000000-0005-0000-0000-000064010000}"/>
    <cellStyle name="Currency 3 5" xfId="358" xr:uid="{00000000-0005-0000-0000-000065010000}"/>
    <cellStyle name="Currency 3 5 2" xfId="359" xr:uid="{00000000-0005-0000-0000-000066010000}"/>
    <cellStyle name="Currency 3 6" xfId="360" xr:uid="{00000000-0005-0000-0000-000067010000}"/>
    <cellStyle name="Currency 3 7" xfId="361" xr:uid="{00000000-0005-0000-0000-000068010000}"/>
    <cellStyle name="Currency 3 8" xfId="362" xr:uid="{00000000-0005-0000-0000-000069010000}"/>
    <cellStyle name="Currency 4" xfId="363" xr:uid="{00000000-0005-0000-0000-00006A010000}"/>
    <cellStyle name="Currency 4 10" xfId="364" xr:uid="{00000000-0005-0000-0000-00006B010000}"/>
    <cellStyle name="Currency 4 10 2" xfId="365" xr:uid="{00000000-0005-0000-0000-00006C010000}"/>
    <cellStyle name="Currency 4 10 2 2" xfId="366" xr:uid="{00000000-0005-0000-0000-00006D010000}"/>
    <cellStyle name="Currency 4 10 2 2 2" xfId="367" xr:uid="{00000000-0005-0000-0000-00006E010000}"/>
    <cellStyle name="Currency 4 10 2 3" xfId="368" xr:uid="{00000000-0005-0000-0000-00006F010000}"/>
    <cellStyle name="Currency 4 10 2 3 2" xfId="369" xr:uid="{00000000-0005-0000-0000-000070010000}"/>
    <cellStyle name="Currency 4 10 2 4" xfId="370" xr:uid="{00000000-0005-0000-0000-000071010000}"/>
    <cellStyle name="Currency 4 10 3" xfId="371" xr:uid="{00000000-0005-0000-0000-000072010000}"/>
    <cellStyle name="Currency 4 10 3 2" xfId="372" xr:uid="{00000000-0005-0000-0000-000073010000}"/>
    <cellStyle name="Currency 4 10 4" xfId="373" xr:uid="{00000000-0005-0000-0000-000074010000}"/>
    <cellStyle name="Currency 4 10 4 2" xfId="374" xr:uid="{00000000-0005-0000-0000-000075010000}"/>
    <cellStyle name="Currency 4 10 4 3" xfId="375" xr:uid="{00000000-0005-0000-0000-000076010000}"/>
    <cellStyle name="Currency 4 10 5" xfId="376" xr:uid="{00000000-0005-0000-0000-000077010000}"/>
    <cellStyle name="Currency 4 10 5 2" xfId="377" xr:uid="{00000000-0005-0000-0000-000078010000}"/>
    <cellStyle name="Currency 4 2" xfId="378" xr:uid="{00000000-0005-0000-0000-000079010000}"/>
    <cellStyle name="Currency 4 2 2" xfId="379" xr:uid="{00000000-0005-0000-0000-00007A010000}"/>
    <cellStyle name="Currency 4 2 3" xfId="380" xr:uid="{00000000-0005-0000-0000-00007B010000}"/>
    <cellStyle name="Currency 4 3" xfId="381" xr:uid="{00000000-0005-0000-0000-00007C010000}"/>
    <cellStyle name="Currency 4 3 2" xfId="382" xr:uid="{00000000-0005-0000-0000-00007D010000}"/>
    <cellStyle name="Currency 4 3 2 2" xfId="383" xr:uid="{00000000-0005-0000-0000-00007E010000}"/>
    <cellStyle name="Currency 4 3 2 3" xfId="384" xr:uid="{00000000-0005-0000-0000-00007F010000}"/>
    <cellStyle name="Currency 4 3 2 4" xfId="385" xr:uid="{00000000-0005-0000-0000-000080010000}"/>
    <cellStyle name="Currency 4 3 3" xfId="386" xr:uid="{00000000-0005-0000-0000-000081010000}"/>
    <cellStyle name="Currency 4 4" xfId="387" xr:uid="{00000000-0005-0000-0000-000082010000}"/>
    <cellStyle name="Currency 4 5" xfId="388" xr:uid="{00000000-0005-0000-0000-000083010000}"/>
    <cellStyle name="Currency 4 5 2" xfId="389" xr:uid="{00000000-0005-0000-0000-000084010000}"/>
    <cellStyle name="Currency 4 5 3" xfId="390" xr:uid="{00000000-0005-0000-0000-000085010000}"/>
    <cellStyle name="Currency 4 5 4" xfId="391" xr:uid="{00000000-0005-0000-0000-000086010000}"/>
    <cellStyle name="Currency 5" xfId="392" xr:uid="{00000000-0005-0000-0000-000087010000}"/>
    <cellStyle name="Currency 5 2" xfId="393" xr:uid="{00000000-0005-0000-0000-000088010000}"/>
    <cellStyle name="Currency 5 3" xfId="394" xr:uid="{00000000-0005-0000-0000-000089010000}"/>
    <cellStyle name="Currency 5 4" xfId="395" xr:uid="{00000000-0005-0000-0000-00008A010000}"/>
    <cellStyle name="Currency 5 4 2" xfId="396" xr:uid="{00000000-0005-0000-0000-00008B010000}"/>
    <cellStyle name="Currency 5 4 3" xfId="397" xr:uid="{00000000-0005-0000-0000-00008C010000}"/>
    <cellStyle name="Currency 5 4 4" xfId="398" xr:uid="{00000000-0005-0000-0000-00008D010000}"/>
    <cellStyle name="Currency 5 5" xfId="399" xr:uid="{00000000-0005-0000-0000-00008E010000}"/>
    <cellStyle name="Currency 6" xfId="400" xr:uid="{00000000-0005-0000-0000-00008F010000}"/>
    <cellStyle name="Currency 6 2" xfId="401" xr:uid="{00000000-0005-0000-0000-000090010000}"/>
    <cellStyle name="Currency 6 3" xfId="402" xr:uid="{00000000-0005-0000-0000-000091010000}"/>
    <cellStyle name="Currency 6 3 2" xfId="403" xr:uid="{00000000-0005-0000-0000-000092010000}"/>
    <cellStyle name="Currency 6 3 3" xfId="404" xr:uid="{00000000-0005-0000-0000-000093010000}"/>
    <cellStyle name="Currency 6 3 4" xfId="405" xr:uid="{00000000-0005-0000-0000-000094010000}"/>
    <cellStyle name="Currency 7" xfId="406" xr:uid="{00000000-0005-0000-0000-000095010000}"/>
    <cellStyle name="Currency 8" xfId="407" xr:uid="{00000000-0005-0000-0000-000096010000}"/>
    <cellStyle name="Currency 9" xfId="408" xr:uid="{00000000-0005-0000-0000-000097010000}"/>
    <cellStyle name="Currency0" xfId="409" xr:uid="{00000000-0005-0000-0000-000098010000}"/>
    <cellStyle name="Currency0 2" xfId="410" xr:uid="{00000000-0005-0000-0000-000099010000}"/>
    <cellStyle name="Currency0 2 2" xfId="411" xr:uid="{00000000-0005-0000-0000-00009A010000}"/>
    <cellStyle name="Currency0 2 3" xfId="412" xr:uid="{00000000-0005-0000-0000-00009B010000}"/>
    <cellStyle name="Currency0 2 4" xfId="413" xr:uid="{00000000-0005-0000-0000-00009C010000}"/>
    <cellStyle name="Currency0 2 5" xfId="414" xr:uid="{00000000-0005-0000-0000-00009D010000}"/>
    <cellStyle name="Currency0 3" xfId="415" xr:uid="{00000000-0005-0000-0000-00009E010000}"/>
    <cellStyle name="Date" xfId="416" xr:uid="{00000000-0005-0000-0000-00009F010000}"/>
    <cellStyle name="Date 2" xfId="417" xr:uid="{00000000-0005-0000-0000-0000A0010000}"/>
    <cellStyle name="Date 2 2" xfId="418" xr:uid="{00000000-0005-0000-0000-0000A1010000}"/>
    <cellStyle name="Date 2 3" xfId="419" xr:uid="{00000000-0005-0000-0000-0000A2010000}"/>
    <cellStyle name="Date 2 4" xfId="420" xr:uid="{00000000-0005-0000-0000-0000A3010000}"/>
    <cellStyle name="Date 2 5" xfId="421" xr:uid="{00000000-0005-0000-0000-0000A4010000}"/>
    <cellStyle name="Date 3" xfId="422" xr:uid="{00000000-0005-0000-0000-0000A5010000}"/>
    <cellStyle name="Explanatory Text" xfId="423" builtinId="53" customBuiltin="1"/>
    <cellStyle name="Explanatory Text 2" xfId="424" xr:uid="{00000000-0005-0000-0000-0000A7010000}"/>
    <cellStyle name="Explanatory Text 2 2" xfId="425" xr:uid="{00000000-0005-0000-0000-0000A8010000}"/>
    <cellStyle name="Fixed" xfId="426" xr:uid="{00000000-0005-0000-0000-0000A9010000}"/>
    <cellStyle name="Fixed 2" xfId="427" xr:uid="{00000000-0005-0000-0000-0000AA010000}"/>
    <cellStyle name="Fixed 2 2" xfId="428" xr:uid="{00000000-0005-0000-0000-0000AB010000}"/>
    <cellStyle name="Fixed 2 3" xfId="429" xr:uid="{00000000-0005-0000-0000-0000AC010000}"/>
    <cellStyle name="Fixed 2 4" xfId="430" xr:uid="{00000000-0005-0000-0000-0000AD010000}"/>
    <cellStyle name="Fixed 2 5" xfId="431" xr:uid="{00000000-0005-0000-0000-0000AE010000}"/>
    <cellStyle name="Fixed 3" xfId="432" xr:uid="{00000000-0005-0000-0000-0000AF010000}"/>
    <cellStyle name="Good" xfId="433" builtinId="26" customBuiltin="1"/>
    <cellStyle name="Good 2" xfId="434" xr:uid="{00000000-0005-0000-0000-0000B1010000}"/>
    <cellStyle name="Good 2 2" xfId="435" xr:uid="{00000000-0005-0000-0000-0000B2010000}"/>
    <cellStyle name="Heading 1" xfId="436" builtinId="16" customBuiltin="1"/>
    <cellStyle name="Heading 1 2" xfId="437" xr:uid="{00000000-0005-0000-0000-0000B4010000}"/>
    <cellStyle name="Heading 1 2 2" xfId="438" xr:uid="{00000000-0005-0000-0000-0000B5010000}"/>
    <cellStyle name="Heading 1 3" xfId="439" xr:uid="{00000000-0005-0000-0000-0000B6010000}"/>
    <cellStyle name="Heading 1 3 2" xfId="440" xr:uid="{00000000-0005-0000-0000-0000B7010000}"/>
    <cellStyle name="Heading 2" xfId="441" builtinId="17" customBuiltin="1"/>
    <cellStyle name="Heading 2 2" xfId="442" xr:uid="{00000000-0005-0000-0000-0000B9010000}"/>
    <cellStyle name="Heading 2 2 2" xfId="443" xr:uid="{00000000-0005-0000-0000-0000BA010000}"/>
    <cellStyle name="Heading 2 3" xfId="444" xr:uid="{00000000-0005-0000-0000-0000BB010000}"/>
    <cellStyle name="Heading 2 3 2" xfId="445" xr:uid="{00000000-0005-0000-0000-0000BC010000}"/>
    <cellStyle name="Heading 3" xfId="446" builtinId="18" customBuiltin="1"/>
    <cellStyle name="Heading 3 2" xfId="447" xr:uid="{00000000-0005-0000-0000-0000BE010000}"/>
    <cellStyle name="Heading 3 2 2" xfId="448" xr:uid="{00000000-0005-0000-0000-0000BF010000}"/>
    <cellStyle name="Heading 4" xfId="449" builtinId="19" customBuiltin="1"/>
    <cellStyle name="Heading 4 2" xfId="450" xr:uid="{00000000-0005-0000-0000-0000C1010000}"/>
    <cellStyle name="Heading 4 2 2" xfId="451" xr:uid="{00000000-0005-0000-0000-0000C2010000}"/>
    <cellStyle name="Heading1" xfId="452" xr:uid="{00000000-0005-0000-0000-0000C3010000}"/>
    <cellStyle name="Heading2" xfId="453" xr:uid="{00000000-0005-0000-0000-0000C4010000}"/>
    <cellStyle name="Input" xfId="454" builtinId="20" customBuiltin="1"/>
    <cellStyle name="Input 2" xfId="455" xr:uid="{00000000-0005-0000-0000-0000C6010000}"/>
    <cellStyle name="Input 2 2" xfId="456" xr:uid="{00000000-0005-0000-0000-0000C7010000}"/>
    <cellStyle name="Linked Cell" xfId="457" builtinId="24" customBuiltin="1"/>
    <cellStyle name="Linked Cell 2" xfId="458" xr:uid="{00000000-0005-0000-0000-0000C9010000}"/>
    <cellStyle name="Linked Cell 2 2" xfId="459" xr:uid="{00000000-0005-0000-0000-0000CA010000}"/>
    <cellStyle name="M" xfId="460" xr:uid="{00000000-0005-0000-0000-0000CB010000}"/>
    <cellStyle name="M 2" xfId="461" xr:uid="{00000000-0005-0000-0000-0000CC010000}"/>
    <cellStyle name="M 2 2" xfId="462" xr:uid="{00000000-0005-0000-0000-0000CD010000}"/>
    <cellStyle name="M 2 2 2" xfId="463" xr:uid="{00000000-0005-0000-0000-0000CE010000}"/>
    <cellStyle name="M 3" xfId="464" xr:uid="{00000000-0005-0000-0000-0000CF010000}"/>
    <cellStyle name="M 3 2" xfId="465" xr:uid="{00000000-0005-0000-0000-0000D0010000}"/>
    <cellStyle name="M 3 2 2" xfId="466" xr:uid="{00000000-0005-0000-0000-0000D1010000}"/>
    <cellStyle name="M 4" xfId="467" xr:uid="{00000000-0005-0000-0000-0000D2010000}"/>
    <cellStyle name="M 5" xfId="468" xr:uid="{00000000-0005-0000-0000-0000D3010000}"/>
    <cellStyle name="M 5 2" xfId="469" xr:uid="{00000000-0005-0000-0000-0000D4010000}"/>
    <cellStyle name="M 6" xfId="470" xr:uid="{00000000-0005-0000-0000-0000D5010000}"/>
    <cellStyle name="M 6 2" xfId="471" xr:uid="{00000000-0005-0000-0000-0000D6010000}"/>
    <cellStyle name="M 7" xfId="472" xr:uid="{00000000-0005-0000-0000-0000D7010000}"/>
    <cellStyle name="Neutral" xfId="473" builtinId="28" customBuiltin="1"/>
    <cellStyle name="Neutral 2" xfId="474" xr:uid="{00000000-0005-0000-0000-0000D9010000}"/>
    <cellStyle name="Neutral 2 2" xfId="475" xr:uid="{00000000-0005-0000-0000-0000DA010000}"/>
    <cellStyle name="Normal" xfId="0" builtinId="0"/>
    <cellStyle name="Normal 10" xfId="476" xr:uid="{00000000-0005-0000-0000-0000DC010000}"/>
    <cellStyle name="Normal 10 2" xfId="477" xr:uid="{00000000-0005-0000-0000-0000DD010000}"/>
    <cellStyle name="Normal 11" xfId="478" xr:uid="{00000000-0005-0000-0000-0000DE010000}"/>
    <cellStyle name="Normal 11 2" xfId="479" xr:uid="{00000000-0005-0000-0000-0000DF010000}"/>
    <cellStyle name="Normal 11 3" xfId="480" xr:uid="{00000000-0005-0000-0000-0000E0010000}"/>
    <cellStyle name="Normal 12" xfId="481" xr:uid="{00000000-0005-0000-0000-0000E1010000}"/>
    <cellStyle name="Normal 12 2" xfId="482" xr:uid="{00000000-0005-0000-0000-0000E2010000}"/>
    <cellStyle name="Normal 12 3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2 3" xfId="487" xr:uid="{00000000-0005-0000-0000-0000E7010000}"/>
    <cellStyle name="Normal 2 2 4" xfId="488" xr:uid="{00000000-0005-0000-0000-0000E8010000}"/>
    <cellStyle name="Normal 3" xfId="489" xr:uid="{00000000-0005-0000-0000-0000E9010000}"/>
    <cellStyle name="Normal 3 2" xfId="490" xr:uid="{00000000-0005-0000-0000-0000EA010000}"/>
    <cellStyle name="Normal 3 2 2" xfId="491" xr:uid="{00000000-0005-0000-0000-0000EB010000}"/>
    <cellStyle name="Normal 3 3" xfId="492" xr:uid="{00000000-0005-0000-0000-0000EC010000}"/>
    <cellStyle name="Normal 3 3 2" xfId="493" xr:uid="{00000000-0005-0000-0000-0000ED010000}"/>
    <cellStyle name="Normal 3 3 3" xfId="494" xr:uid="{00000000-0005-0000-0000-0000EE010000}"/>
    <cellStyle name="Normal 3 3 4" xfId="495" xr:uid="{00000000-0005-0000-0000-0000EF010000}"/>
    <cellStyle name="Normal 3_OPCo Period I PJM  Formula Rate" xfId="496" xr:uid="{00000000-0005-0000-0000-0000F0010000}"/>
    <cellStyle name="Normal 35" xfId="497" xr:uid="{00000000-0005-0000-0000-0000F1010000}"/>
    <cellStyle name="Normal 4" xfId="498" xr:uid="{00000000-0005-0000-0000-0000F2010000}"/>
    <cellStyle name="Normal 4 2" xfId="499" xr:uid="{00000000-0005-0000-0000-0000F3010000}"/>
    <cellStyle name="Normal 4 2 2" xfId="500" xr:uid="{00000000-0005-0000-0000-0000F4010000}"/>
    <cellStyle name="Normal 4 3" xfId="501" xr:uid="{00000000-0005-0000-0000-0000F5010000}"/>
    <cellStyle name="Normal 4 3 2" xfId="502" xr:uid="{00000000-0005-0000-0000-0000F6010000}"/>
    <cellStyle name="Normal 4 3 2 2" xfId="503" xr:uid="{00000000-0005-0000-0000-0000F7010000}"/>
    <cellStyle name="Normal 4 3 2 3" xfId="504" xr:uid="{00000000-0005-0000-0000-0000F8010000}"/>
    <cellStyle name="Normal 4 3 3" xfId="505" xr:uid="{00000000-0005-0000-0000-0000F9010000}"/>
    <cellStyle name="Normal 4 3 3 2" xfId="506" xr:uid="{00000000-0005-0000-0000-0000FA010000}"/>
    <cellStyle name="Normal 4 3 3 2 2" xfId="507" xr:uid="{00000000-0005-0000-0000-0000FB010000}"/>
    <cellStyle name="Normal 4 3 3 2 3" xfId="508" xr:uid="{00000000-0005-0000-0000-0000FC010000}"/>
    <cellStyle name="Normal 4 3 3 2 4" xfId="509" xr:uid="{00000000-0005-0000-0000-0000FD010000}"/>
    <cellStyle name="Normal 4 3 3 3" xfId="510" xr:uid="{00000000-0005-0000-0000-0000FE010000}"/>
    <cellStyle name="Normal 4 3 4" xfId="511" xr:uid="{00000000-0005-0000-0000-0000FF010000}"/>
    <cellStyle name="Normal 4 3 5" xfId="512" xr:uid="{00000000-0005-0000-0000-000000020000}"/>
    <cellStyle name="Normal 4 3 5 2" xfId="513" xr:uid="{00000000-0005-0000-0000-000001020000}"/>
    <cellStyle name="Normal 4 3 5 3" xfId="514" xr:uid="{00000000-0005-0000-0000-000002020000}"/>
    <cellStyle name="Normal 4 3 5 4" xfId="515" xr:uid="{00000000-0005-0000-0000-000003020000}"/>
    <cellStyle name="Normal 4 4" xfId="516" xr:uid="{00000000-0005-0000-0000-000004020000}"/>
    <cellStyle name="Normal 4 4 2" xfId="517" xr:uid="{00000000-0005-0000-0000-000005020000}"/>
    <cellStyle name="Normal 4 4 3" xfId="518" xr:uid="{00000000-0005-0000-0000-000006020000}"/>
    <cellStyle name="Normal 4 4 4" xfId="519" xr:uid="{00000000-0005-0000-0000-000007020000}"/>
    <cellStyle name="Normal 4 4 4 2" xfId="520" xr:uid="{00000000-0005-0000-0000-000008020000}"/>
    <cellStyle name="Normal 4 4 4 3" xfId="521" xr:uid="{00000000-0005-0000-0000-000009020000}"/>
    <cellStyle name="Normal 4 4 4 4" xfId="522" xr:uid="{00000000-0005-0000-0000-00000A020000}"/>
    <cellStyle name="Normal 4 4 5" xfId="523" xr:uid="{00000000-0005-0000-0000-00000B020000}"/>
    <cellStyle name="Normal 4 5" xfId="524" xr:uid="{00000000-0005-0000-0000-00000C020000}"/>
    <cellStyle name="Normal 4 5 2" xfId="525" xr:uid="{00000000-0005-0000-0000-00000D020000}"/>
    <cellStyle name="Normal 4 5 2 2" xfId="526" xr:uid="{00000000-0005-0000-0000-00000E020000}"/>
    <cellStyle name="Normal 4 5 2 2 2" xfId="527" xr:uid="{00000000-0005-0000-0000-00000F020000}"/>
    <cellStyle name="Normal 4 5 2 2 3" xfId="528" xr:uid="{00000000-0005-0000-0000-000010020000}"/>
    <cellStyle name="Normal 4 5 2 2 4" xfId="529" xr:uid="{00000000-0005-0000-0000-000011020000}"/>
    <cellStyle name="Normal 4 5 3" xfId="530" xr:uid="{00000000-0005-0000-0000-000012020000}"/>
    <cellStyle name="Normal 4 6" xfId="531" xr:uid="{00000000-0005-0000-0000-000013020000}"/>
    <cellStyle name="Normal 4 7" xfId="532" xr:uid="{00000000-0005-0000-0000-000014020000}"/>
    <cellStyle name="Normal 4 8" xfId="533" xr:uid="{00000000-0005-0000-0000-000015020000}"/>
    <cellStyle name="Normal 4_PBOP Exhibit 1" xfId="534" xr:uid="{00000000-0005-0000-0000-000016020000}"/>
    <cellStyle name="Normal 5" xfId="535" xr:uid="{00000000-0005-0000-0000-000017020000}"/>
    <cellStyle name="Normal 5 2" xfId="536" xr:uid="{00000000-0005-0000-0000-000018020000}"/>
    <cellStyle name="Normal 5 2 2" xfId="537" xr:uid="{00000000-0005-0000-0000-000019020000}"/>
    <cellStyle name="Normal 5 2 3" xfId="538" xr:uid="{00000000-0005-0000-0000-00001A020000}"/>
    <cellStyle name="Normal 5 2 4" xfId="539" xr:uid="{00000000-0005-0000-0000-00001B020000}"/>
    <cellStyle name="Normal 6" xfId="540" xr:uid="{00000000-0005-0000-0000-00001C020000}"/>
    <cellStyle name="Normal 6 2" xfId="541" xr:uid="{00000000-0005-0000-0000-00001D020000}"/>
    <cellStyle name="Normal 7" xfId="542" xr:uid="{00000000-0005-0000-0000-00001E020000}"/>
    <cellStyle name="Normal 7 2" xfId="543" xr:uid="{00000000-0005-0000-0000-00001F020000}"/>
    <cellStyle name="Normal 7 3" xfId="544" xr:uid="{00000000-0005-0000-0000-000020020000}"/>
    <cellStyle name="Normal 8" xfId="545" xr:uid="{00000000-0005-0000-0000-000021020000}"/>
    <cellStyle name="Normal 8 2" xfId="546" xr:uid="{00000000-0005-0000-0000-000022020000}"/>
    <cellStyle name="Normal 9" xfId="547" xr:uid="{00000000-0005-0000-0000-000023020000}"/>
    <cellStyle name="Normal 9 2" xfId="548" xr:uid="{00000000-0005-0000-0000-000024020000}"/>
    <cellStyle name="Normal_FN1 Ratebase Draft SPP template (6-11-04) v2" xfId="549" xr:uid="{00000000-0005-0000-0000-000025020000}"/>
    <cellStyle name="Note" xfId="550" builtinId="10" customBuiltin="1"/>
    <cellStyle name="Note 2" xfId="551" xr:uid="{00000000-0005-0000-0000-000027020000}"/>
    <cellStyle name="Note 2 2" xfId="552" xr:uid="{00000000-0005-0000-0000-000028020000}"/>
    <cellStyle name="Note 2 2 2" xfId="553" xr:uid="{00000000-0005-0000-0000-000029020000}"/>
    <cellStyle name="Note 2 2 3" xfId="554" xr:uid="{00000000-0005-0000-0000-00002A020000}"/>
    <cellStyle name="Note 2 2 4" xfId="555" xr:uid="{00000000-0005-0000-0000-00002B020000}"/>
    <cellStyle name="Output" xfId="556" builtinId="21" customBuiltin="1"/>
    <cellStyle name="Output 2" xfId="557" xr:uid="{00000000-0005-0000-0000-00002D020000}"/>
    <cellStyle name="Output 2 2" xfId="558" xr:uid="{00000000-0005-0000-0000-00002E020000}"/>
    <cellStyle name="Percent" xfId="559" builtinId="5"/>
    <cellStyle name="Percent 10" xfId="560" xr:uid="{00000000-0005-0000-0000-000030020000}"/>
    <cellStyle name="Percent 2" xfId="561" xr:uid="{00000000-0005-0000-0000-000031020000}"/>
    <cellStyle name="Percent 2 2" xfId="562" xr:uid="{00000000-0005-0000-0000-000032020000}"/>
    <cellStyle name="Percent 2 2 2" xfId="563" xr:uid="{00000000-0005-0000-0000-000033020000}"/>
    <cellStyle name="Percent 2 3" xfId="564" xr:uid="{00000000-0005-0000-0000-000034020000}"/>
    <cellStyle name="Percent 3" xfId="565" xr:uid="{00000000-0005-0000-0000-000035020000}"/>
    <cellStyle name="Percent 3 2" xfId="566" xr:uid="{00000000-0005-0000-0000-000036020000}"/>
    <cellStyle name="Percent 3 2 2" xfId="567" xr:uid="{00000000-0005-0000-0000-000037020000}"/>
    <cellStyle name="Percent 3 3" xfId="568" xr:uid="{00000000-0005-0000-0000-000038020000}"/>
    <cellStyle name="Percent 3 3 2" xfId="569" xr:uid="{00000000-0005-0000-0000-000039020000}"/>
    <cellStyle name="Percent 3 3 2 2" xfId="570" xr:uid="{00000000-0005-0000-0000-00003A020000}"/>
    <cellStyle name="Percent 3 3 2 3" xfId="571" xr:uid="{00000000-0005-0000-0000-00003B020000}"/>
    <cellStyle name="Percent 3 3 3" xfId="572" xr:uid="{00000000-0005-0000-0000-00003C020000}"/>
    <cellStyle name="Percent 3 3 3 2" xfId="573" xr:uid="{00000000-0005-0000-0000-00003D020000}"/>
    <cellStyle name="Percent 3 3 3 2 2" xfId="574" xr:uid="{00000000-0005-0000-0000-00003E020000}"/>
    <cellStyle name="Percent 3 3 3 2 3" xfId="575" xr:uid="{00000000-0005-0000-0000-00003F020000}"/>
    <cellStyle name="Percent 3 3 3 2 4" xfId="576" xr:uid="{00000000-0005-0000-0000-000040020000}"/>
    <cellStyle name="Percent 3 3 3 3" xfId="577" xr:uid="{00000000-0005-0000-0000-000041020000}"/>
    <cellStyle name="Percent 3 3 4" xfId="578" xr:uid="{00000000-0005-0000-0000-000042020000}"/>
    <cellStyle name="Percent 3 3 5" xfId="579" xr:uid="{00000000-0005-0000-0000-000043020000}"/>
    <cellStyle name="Percent 3 3 5 2" xfId="580" xr:uid="{00000000-0005-0000-0000-000044020000}"/>
    <cellStyle name="Percent 3 3 5 3" xfId="581" xr:uid="{00000000-0005-0000-0000-000045020000}"/>
    <cellStyle name="Percent 3 3 5 4" xfId="582" xr:uid="{00000000-0005-0000-0000-000046020000}"/>
    <cellStyle name="Percent 3 4" xfId="583" xr:uid="{00000000-0005-0000-0000-000047020000}"/>
    <cellStyle name="Percent 3 4 2" xfId="584" xr:uid="{00000000-0005-0000-0000-000048020000}"/>
    <cellStyle name="Percent 3 4 3" xfId="585" xr:uid="{00000000-0005-0000-0000-000049020000}"/>
    <cellStyle name="Percent 3 4 4" xfId="586" xr:uid="{00000000-0005-0000-0000-00004A020000}"/>
    <cellStyle name="Percent 3 4 4 2" xfId="587" xr:uid="{00000000-0005-0000-0000-00004B020000}"/>
    <cellStyle name="Percent 3 4 4 3" xfId="588" xr:uid="{00000000-0005-0000-0000-00004C020000}"/>
    <cellStyle name="Percent 3 4 4 4" xfId="589" xr:uid="{00000000-0005-0000-0000-00004D020000}"/>
    <cellStyle name="Percent 3 4 5" xfId="590" xr:uid="{00000000-0005-0000-0000-00004E020000}"/>
    <cellStyle name="Percent 3 5" xfId="591" xr:uid="{00000000-0005-0000-0000-00004F020000}"/>
    <cellStyle name="Percent 3 5 2" xfId="592" xr:uid="{00000000-0005-0000-0000-000050020000}"/>
    <cellStyle name="Percent 3 6" xfId="593" xr:uid="{00000000-0005-0000-0000-000051020000}"/>
    <cellStyle name="Percent 3 7" xfId="594" xr:uid="{00000000-0005-0000-0000-000052020000}"/>
    <cellStyle name="Percent 3 8" xfId="595" xr:uid="{00000000-0005-0000-0000-000053020000}"/>
    <cellStyle name="Percent 4" xfId="596" xr:uid="{00000000-0005-0000-0000-000054020000}"/>
    <cellStyle name="Percent 4 2" xfId="597" xr:uid="{00000000-0005-0000-0000-000055020000}"/>
    <cellStyle name="Percent 4 2 2" xfId="598" xr:uid="{00000000-0005-0000-0000-000056020000}"/>
    <cellStyle name="Percent 4 2 3" xfId="599" xr:uid="{00000000-0005-0000-0000-000057020000}"/>
    <cellStyle name="Percent 4 3" xfId="600" xr:uid="{00000000-0005-0000-0000-000058020000}"/>
    <cellStyle name="Percent 4 3 2" xfId="601" xr:uid="{00000000-0005-0000-0000-000059020000}"/>
    <cellStyle name="Percent 4 3 2 2" xfId="602" xr:uid="{00000000-0005-0000-0000-00005A020000}"/>
    <cellStyle name="Percent 4 3 2 3" xfId="603" xr:uid="{00000000-0005-0000-0000-00005B020000}"/>
    <cellStyle name="Percent 4 3 2 4" xfId="604" xr:uid="{00000000-0005-0000-0000-00005C020000}"/>
    <cellStyle name="Percent 4 3 3" xfId="605" xr:uid="{00000000-0005-0000-0000-00005D020000}"/>
    <cellStyle name="Percent 4 4" xfId="606" xr:uid="{00000000-0005-0000-0000-00005E020000}"/>
    <cellStyle name="Percent 4 5" xfId="607" xr:uid="{00000000-0005-0000-0000-00005F020000}"/>
    <cellStyle name="Percent 4 5 2" xfId="608" xr:uid="{00000000-0005-0000-0000-000060020000}"/>
    <cellStyle name="Percent 4 5 3" xfId="609" xr:uid="{00000000-0005-0000-0000-000061020000}"/>
    <cellStyle name="Percent 4 5 4" xfId="610" xr:uid="{00000000-0005-0000-0000-000062020000}"/>
    <cellStyle name="Percent 5" xfId="611" xr:uid="{00000000-0005-0000-0000-000063020000}"/>
    <cellStyle name="Percent 5 2" xfId="612" xr:uid="{00000000-0005-0000-0000-000064020000}"/>
    <cellStyle name="Percent 5 3" xfId="613" xr:uid="{00000000-0005-0000-0000-000065020000}"/>
    <cellStyle name="Percent 5 4" xfId="614" xr:uid="{00000000-0005-0000-0000-000066020000}"/>
    <cellStyle name="Percent 5 4 2" xfId="615" xr:uid="{00000000-0005-0000-0000-000067020000}"/>
    <cellStyle name="Percent 5 4 3" xfId="616" xr:uid="{00000000-0005-0000-0000-000068020000}"/>
    <cellStyle name="Percent 5 4 4" xfId="617" xr:uid="{00000000-0005-0000-0000-000069020000}"/>
    <cellStyle name="Percent 5 5" xfId="618" xr:uid="{00000000-0005-0000-0000-00006A020000}"/>
    <cellStyle name="Percent 6" xfId="619" xr:uid="{00000000-0005-0000-0000-00006B020000}"/>
    <cellStyle name="Percent 6 2" xfId="620" xr:uid="{00000000-0005-0000-0000-00006C020000}"/>
    <cellStyle name="Percent 7" xfId="621" xr:uid="{00000000-0005-0000-0000-00006D020000}"/>
    <cellStyle name="Percent 7 2" xfId="622" xr:uid="{00000000-0005-0000-0000-00006E020000}"/>
    <cellStyle name="Percent 7 2 2" xfId="623" xr:uid="{00000000-0005-0000-0000-00006F020000}"/>
    <cellStyle name="Percent 7 2 2 2" xfId="624" xr:uid="{00000000-0005-0000-0000-000070020000}"/>
    <cellStyle name="Percent 7 2 2 2 2" xfId="625" xr:uid="{00000000-0005-0000-0000-000071020000}"/>
    <cellStyle name="Percent 7 2 2 3" xfId="626" xr:uid="{00000000-0005-0000-0000-000072020000}"/>
    <cellStyle name="Percent 7 2 2 3 2" xfId="627" xr:uid="{00000000-0005-0000-0000-000073020000}"/>
    <cellStyle name="Percent 7 2 2 4" xfId="628" xr:uid="{00000000-0005-0000-0000-000074020000}"/>
    <cellStyle name="Percent 7 2 3" xfId="629" xr:uid="{00000000-0005-0000-0000-000075020000}"/>
    <cellStyle name="Percent 7 2 3 2" xfId="630" xr:uid="{00000000-0005-0000-0000-000076020000}"/>
    <cellStyle name="Percent 7 2 4" xfId="631" xr:uid="{00000000-0005-0000-0000-000077020000}"/>
    <cellStyle name="Percent 7 2 4 2" xfId="632" xr:uid="{00000000-0005-0000-0000-000078020000}"/>
    <cellStyle name="Percent 7 2 4 3" xfId="633" xr:uid="{00000000-0005-0000-0000-000079020000}"/>
    <cellStyle name="Percent 7 2 5" xfId="634" xr:uid="{00000000-0005-0000-0000-00007A020000}"/>
    <cellStyle name="Percent 7 2 5 2" xfId="635" xr:uid="{00000000-0005-0000-0000-00007B020000}"/>
    <cellStyle name="Percent 7 3" xfId="636" xr:uid="{00000000-0005-0000-0000-00007C020000}"/>
    <cellStyle name="Percent 7 4" xfId="637" xr:uid="{00000000-0005-0000-0000-00007D020000}"/>
    <cellStyle name="Percent 7 5" xfId="638" xr:uid="{00000000-0005-0000-0000-00007E020000}"/>
    <cellStyle name="Percent 8" xfId="639" xr:uid="{00000000-0005-0000-0000-00007F020000}"/>
    <cellStyle name="Percent 9" xfId="640" xr:uid="{00000000-0005-0000-0000-000080020000}"/>
    <cellStyle name="PSChar" xfId="641" xr:uid="{00000000-0005-0000-0000-000081020000}"/>
    <cellStyle name="PSChar 2" xfId="642" xr:uid="{00000000-0005-0000-0000-000082020000}"/>
    <cellStyle name="PSChar 2 2" xfId="643" xr:uid="{00000000-0005-0000-0000-000083020000}"/>
    <cellStyle name="PSChar 3" xfId="644" xr:uid="{00000000-0005-0000-0000-000084020000}"/>
    <cellStyle name="PSChar 4" xfId="645" xr:uid="{00000000-0005-0000-0000-000085020000}"/>
    <cellStyle name="PSChar 4 2" xfId="646" xr:uid="{00000000-0005-0000-0000-000086020000}"/>
    <cellStyle name="PSChar 5" xfId="647" xr:uid="{00000000-0005-0000-0000-000087020000}"/>
    <cellStyle name="PSChar 5 2" xfId="648" xr:uid="{00000000-0005-0000-0000-000088020000}"/>
    <cellStyle name="PSDate" xfId="649" xr:uid="{00000000-0005-0000-0000-000089020000}"/>
    <cellStyle name="PSDate 2" xfId="650" xr:uid="{00000000-0005-0000-0000-00008A020000}"/>
    <cellStyle name="PSDate 3" xfId="651" xr:uid="{00000000-0005-0000-0000-00008B020000}"/>
    <cellStyle name="PSDate 4" xfId="652" xr:uid="{00000000-0005-0000-0000-00008C020000}"/>
    <cellStyle name="PSDate 4 2" xfId="653" xr:uid="{00000000-0005-0000-0000-00008D020000}"/>
    <cellStyle name="PSDate 5" xfId="654" xr:uid="{00000000-0005-0000-0000-00008E020000}"/>
    <cellStyle name="PSDate 5 2" xfId="655" xr:uid="{00000000-0005-0000-0000-00008F020000}"/>
    <cellStyle name="PSDec" xfId="656" xr:uid="{00000000-0005-0000-0000-000090020000}"/>
    <cellStyle name="PSDec 2" xfId="657" xr:uid="{00000000-0005-0000-0000-000091020000}"/>
    <cellStyle name="PSDec 3" xfId="658" xr:uid="{00000000-0005-0000-0000-000092020000}"/>
    <cellStyle name="PSDec 4" xfId="659" xr:uid="{00000000-0005-0000-0000-000093020000}"/>
    <cellStyle name="PSDec 4 2" xfId="660" xr:uid="{00000000-0005-0000-0000-000094020000}"/>
    <cellStyle name="PSDec 5" xfId="661" xr:uid="{00000000-0005-0000-0000-000095020000}"/>
    <cellStyle name="PSDec 5 2" xfId="662" xr:uid="{00000000-0005-0000-0000-000096020000}"/>
    <cellStyle name="PSdesc" xfId="663" xr:uid="{00000000-0005-0000-0000-000097020000}"/>
    <cellStyle name="PSdesc 2" xfId="664" xr:uid="{00000000-0005-0000-0000-000098020000}"/>
    <cellStyle name="PSHeading" xfId="665" xr:uid="{00000000-0005-0000-0000-000099020000}"/>
    <cellStyle name="PSHeading 2" xfId="666" xr:uid="{00000000-0005-0000-0000-00009A020000}"/>
    <cellStyle name="PSHeading 3" xfId="667" xr:uid="{00000000-0005-0000-0000-00009B020000}"/>
    <cellStyle name="PSHeading 4" xfId="668" xr:uid="{00000000-0005-0000-0000-00009C020000}"/>
    <cellStyle name="PSHeading 5" xfId="669" xr:uid="{00000000-0005-0000-0000-00009D020000}"/>
    <cellStyle name="PSHeading 5 2" xfId="670" xr:uid="{00000000-0005-0000-0000-00009E020000}"/>
    <cellStyle name="PSHeading 6" xfId="671" xr:uid="{00000000-0005-0000-0000-00009F020000}"/>
    <cellStyle name="PSHeading 6 2" xfId="672" xr:uid="{00000000-0005-0000-0000-0000A0020000}"/>
    <cellStyle name="PSInt" xfId="673" xr:uid="{00000000-0005-0000-0000-0000A1020000}"/>
    <cellStyle name="PSInt 2" xfId="674" xr:uid="{00000000-0005-0000-0000-0000A2020000}"/>
    <cellStyle name="PSInt 3" xfId="675" xr:uid="{00000000-0005-0000-0000-0000A3020000}"/>
    <cellStyle name="PSInt 4" xfId="676" xr:uid="{00000000-0005-0000-0000-0000A4020000}"/>
    <cellStyle name="PSInt 4 2" xfId="677" xr:uid="{00000000-0005-0000-0000-0000A5020000}"/>
    <cellStyle name="PSInt 5" xfId="678" xr:uid="{00000000-0005-0000-0000-0000A6020000}"/>
    <cellStyle name="PSInt 5 2" xfId="679" xr:uid="{00000000-0005-0000-0000-0000A7020000}"/>
    <cellStyle name="PSSpacer" xfId="680" xr:uid="{00000000-0005-0000-0000-0000A8020000}"/>
    <cellStyle name="PSSpacer 2" xfId="681" xr:uid="{00000000-0005-0000-0000-0000A9020000}"/>
    <cellStyle name="PSSpacer 3" xfId="682" xr:uid="{00000000-0005-0000-0000-0000AA020000}"/>
    <cellStyle name="PSSpacer 3 2" xfId="683" xr:uid="{00000000-0005-0000-0000-0000AB020000}"/>
    <cellStyle name="PStest" xfId="684" xr:uid="{00000000-0005-0000-0000-0000AC020000}"/>
    <cellStyle name="PStest 2" xfId="685" xr:uid="{00000000-0005-0000-0000-0000AD020000}"/>
    <cellStyle name="R00A" xfId="686" xr:uid="{00000000-0005-0000-0000-0000AE020000}"/>
    <cellStyle name="R00B" xfId="687" xr:uid="{00000000-0005-0000-0000-0000AF020000}"/>
    <cellStyle name="R00L" xfId="688" xr:uid="{00000000-0005-0000-0000-0000B0020000}"/>
    <cellStyle name="R01A" xfId="689" xr:uid="{00000000-0005-0000-0000-0000B1020000}"/>
    <cellStyle name="R01B" xfId="690" xr:uid="{00000000-0005-0000-0000-0000B2020000}"/>
    <cellStyle name="R01H" xfId="691" xr:uid="{00000000-0005-0000-0000-0000B3020000}"/>
    <cellStyle name="R01L" xfId="692" xr:uid="{00000000-0005-0000-0000-0000B4020000}"/>
    <cellStyle name="R02A" xfId="693" xr:uid="{00000000-0005-0000-0000-0000B5020000}"/>
    <cellStyle name="R02B" xfId="694" xr:uid="{00000000-0005-0000-0000-0000B6020000}"/>
    <cellStyle name="R02B 2" xfId="695" xr:uid="{00000000-0005-0000-0000-0000B7020000}"/>
    <cellStyle name="R02H" xfId="696" xr:uid="{00000000-0005-0000-0000-0000B8020000}"/>
    <cellStyle name="R02L" xfId="697" xr:uid="{00000000-0005-0000-0000-0000B9020000}"/>
    <cellStyle name="R03A" xfId="698" xr:uid="{00000000-0005-0000-0000-0000BA020000}"/>
    <cellStyle name="R03B" xfId="699" xr:uid="{00000000-0005-0000-0000-0000BB020000}"/>
    <cellStyle name="R03B 2" xfId="700" xr:uid="{00000000-0005-0000-0000-0000BC020000}"/>
    <cellStyle name="R03H" xfId="701" xr:uid="{00000000-0005-0000-0000-0000BD020000}"/>
    <cellStyle name="R03L" xfId="702" xr:uid="{00000000-0005-0000-0000-0000BE020000}"/>
    <cellStyle name="R04A" xfId="703" xr:uid="{00000000-0005-0000-0000-0000BF020000}"/>
    <cellStyle name="R04B" xfId="704" xr:uid="{00000000-0005-0000-0000-0000C0020000}"/>
    <cellStyle name="R04B 2" xfId="705" xr:uid="{00000000-0005-0000-0000-0000C1020000}"/>
    <cellStyle name="R04H" xfId="706" xr:uid="{00000000-0005-0000-0000-0000C2020000}"/>
    <cellStyle name="R04L" xfId="707" xr:uid="{00000000-0005-0000-0000-0000C3020000}"/>
    <cellStyle name="R05A" xfId="708" xr:uid="{00000000-0005-0000-0000-0000C4020000}"/>
    <cellStyle name="R05B" xfId="709" xr:uid="{00000000-0005-0000-0000-0000C5020000}"/>
    <cellStyle name="R05B 2" xfId="710" xr:uid="{00000000-0005-0000-0000-0000C6020000}"/>
    <cellStyle name="R05H" xfId="711" xr:uid="{00000000-0005-0000-0000-0000C7020000}"/>
    <cellStyle name="R05L" xfId="712" xr:uid="{00000000-0005-0000-0000-0000C8020000}"/>
    <cellStyle name="R05L 2" xfId="713" xr:uid="{00000000-0005-0000-0000-0000C9020000}"/>
    <cellStyle name="R06A" xfId="714" xr:uid="{00000000-0005-0000-0000-0000CA020000}"/>
    <cellStyle name="R06B" xfId="715" xr:uid="{00000000-0005-0000-0000-0000CB020000}"/>
    <cellStyle name="R06B 2" xfId="716" xr:uid="{00000000-0005-0000-0000-0000CC020000}"/>
    <cellStyle name="R06H" xfId="717" xr:uid="{00000000-0005-0000-0000-0000CD020000}"/>
    <cellStyle name="R06L" xfId="718" xr:uid="{00000000-0005-0000-0000-0000CE020000}"/>
    <cellStyle name="R07A" xfId="719" xr:uid="{00000000-0005-0000-0000-0000CF020000}"/>
    <cellStyle name="R07B" xfId="720" xr:uid="{00000000-0005-0000-0000-0000D0020000}"/>
    <cellStyle name="R07B 2" xfId="721" xr:uid="{00000000-0005-0000-0000-0000D1020000}"/>
    <cellStyle name="R07H" xfId="722" xr:uid="{00000000-0005-0000-0000-0000D2020000}"/>
    <cellStyle name="R07L" xfId="723" xr:uid="{00000000-0005-0000-0000-0000D3020000}"/>
    <cellStyle name="Title" xfId="724" builtinId="15" customBuiltin="1"/>
    <cellStyle name="Title 2" xfId="725" xr:uid="{00000000-0005-0000-0000-0000D5020000}"/>
    <cellStyle name="Title 2 2" xfId="726" xr:uid="{00000000-0005-0000-0000-0000D6020000}"/>
    <cellStyle name="Total" xfId="727" builtinId="25" customBuiltin="1"/>
    <cellStyle name="Total 2" xfId="728" xr:uid="{00000000-0005-0000-0000-0000D8020000}"/>
    <cellStyle name="Total 2 2" xfId="729" xr:uid="{00000000-0005-0000-0000-0000D9020000}"/>
    <cellStyle name="Total 3" xfId="730" xr:uid="{00000000-0005-0000-0000-0000DA020000}"/>
    <cellStyle name="Total 3 2" xfId="731" xr:uid="{00000000-0005-0000-0000-0000DB020000}"/>
    <cellStyle name="Warning Text" xfId="732" builtinId="11" customBuiltin="1"/>
    <cellStyle name="Warning Text 2" xfId="733" xr:uid="{00000000-0005-0000-0000-0000DD020000}"/>
    <cellStyle name="Warning Text 2 2" xfId="734" xr:uid="{00000000-0005-0000-0000-0000DE020000}"/>
  </cellStyles>
  <dxfs count="7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50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28</xdr:row>
      <xdr:rowOff>114300</xdr:rowOff>
    </xdr:from>
    <xdr:to>
      <xdr:col>4</xdr:col>
      <xdr:colOff>495300</xdr:colOff>
      <xdr:row>29</xdr:row>
      <xdr:rowOff>152400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914775" y="543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000000-0008-0000-0B00-0000F52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0978" name="Text Box 1">
          <a:extLst>
            <a:ext uri="{FF2B5EF4-FFF2-40B4-BE49-F238E27FC236}">
              <a16:creationId xmlns:a16="http://schemas.microsoft.com/office/drawing/2014/main" id="{00000000-0008-0000-0C00-0000F25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2004" name="Text Box 1">
          <a:extLst>
            <a:ext uri="{FF2B5EF4-FFF2-40B4-BE49-F238E27FC236}">
              <a16:creationId xmlns:a16="http://schemas.microsoft.com/office/drawing/2014/main" id="{00000000-0008-0000-0D00-0000F45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4050" name="Text Box 1">
          <a:extLst>
            <a:ext uri="{FF2B5EF4-FFF2-40B4-BE49-F238E27FC236}">
              <a16:creationId xmlns:a16="http://schemas.microsoft.com/office/drawing/2014/main" id="{00000000-0008-0000-0E00-0000F25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074" name="Text Box 1">
          <a:extLst>
            <a:ext uri="{FF2B5EF4-FFF2-40B4-BE49-F238E27FC236}">
              <a16:creationId xmlns:a16="http://schemas.microsoft.com/office/drawing/2014/main" id="{00000000-0008-0000-0F00-0000F26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7119" name="Text Box 1">
          <a:extLst>
            <a:ext uri="{FF2B5EF4-FFF2-40B4-BE49-F238E27FC236}">
              <a16:creationId xmlns:a16="http://schemas.microsoft.com/office/drawing/2014/main" id="{00000000-0008-0000-1000-0000EF6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8088" name="Text Box 1">
          <a:extLst>
            <a:ext uri="{FF2B5EF4-FFF2-40B4-BE49-F238E27FC236}">
              <a16:creationId xmlns:a16="http://schemas.microsoft.com/office/drawing/2014/main" id="{00000000-0008-0000-1100-0000B86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9109" name="Text Box 1">
          <a:extLst>
            <a:ext uri="{FF2B5EF4-FFF2-40B4-BE49-F238E27FC236}">
              <a16:creationId xmlns:a16="http://schemas.microsoft.com/office/drawing/2014/main" id="{00000000-0008-0000-1200-0000B57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0080" name="Text Box 1">
          <a:extLst>
            <a:ext uri="{FF2B5EF4-FFF2-40B4-BE49-F238E27FC236}">
              <a16:creationId xmlns:a16="http://schemas.microsoft.com/office/drawing/2014/main" id="{00000000-0008-0000-1300-0000807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1104" name="Text Box 1">
          <a:extLst>
            <a:ext uri="{FF2B5EF4-FFF2-40B4-BE49-F238E27FC236}">
              <a16:creationId xmlns:a16="http://schemas.microsoft.com/office/drawing/2014/main" id="{00000000-0008-0000-1400-0000807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0000000-0008-0000-0300-0000F60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8147" name="Text Box 1">
          <a:extLst>
            <a:ext uri="{FF2B5EF4-FFF2-40B4-BE49-F238E27FC236}">
              <a16:creationId xmlns:a16="http://schemas.microsoft.com/office/drawing/2014/main" id="{00000000-0008-0000-1500-0000039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9171" name="Text Box 1">
          <a:extLst>
            <a:ext uri="{FF2B5EF4-FFF2-40B4-BE49-F238E27FC236}">
              <a16:creationId xmlns:a16="http://schemas.microsoft.com/office/drawing/2014/main" id="{00000000-0008-0000-1600-0000039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0195" name="Text Box 1">
          <a:extLst>
            <a:ext uri="{FF2B5EF4-FFF2-40B4-BE49-F238E27FC236}">
              <a16:creationId xmlns:a16="http://schemas.microsoft.com/office/drawing/2014/main" id="{00000000-0008-0000-1700-0000039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1219" name="Text Box 1">
          <a:extLst>
            <a:ext uri="{FF2B5EF4-FFF2-40B4-BE49-F238E27FC236}">
              <a16:creationId xmlns:a16="http://schemas.microsoft.com/office/drawing/2014/main" id="{00000000-0008-0000-1800-000003A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0</xdr:rowOff>
    </xdr:to>
    <xdr:sp macro="" textlink="">
      <xdr:nvSpPr>
        <xdr:cNvPr id="43102" name="Text Box 1">
          <a:extLst>
            <a:ext uri="{FF2B5EF4-FFF2-40B4-BE49-F238E27FC236}">
              <a16:creationId xmlns:a16="http://schemas.microsoft.com/office/drawing/2014/main" id="{00000000-0008-0000-1900-00005EA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4126" name="Text Box 1">
          <a:extLst>
            <a:ext uri="{FF2B5EF4-FFF2-40B4-BE49-F238E27FC236}">
              <a16:creationId xmlns:a16="http://schemas.microsoft.com/office/drawing/2014/main" id="{00000000-0008-0000-1A00-00005EA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48143" name="Text Box 1">
          <a:extLst>
            <a:ext uri="{FF2B5EF4-FFF2-40B4-BE49-F238E27FC236}">
              <a16:creationId xmlns:a16="http://schemas.microsoft.com/office/drawing/2014/main" id="{00000000-0008-0000-1B00-00000FB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9167" name="Text Box 1">
          <a:extLst>
            <a:ext uri="{FF2B5EF4-FFF2-40B4-BE49-F238E27FC236}">
              <a16:creationId xmlns:a16="http://schemas.microsoft.com/office/drawing/2014/main" id="{00000000-0008-0000-1C00-00000FC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0191" name="Text Box 1">
          <a:extLst>
            <a:ext uri="{FF2B5EF4-FFF2-40B4-BE49-F238E27FC236}">
              <a16:creationId xmlns:a16="http://schemas.microsoft.com/office/drawing/2014/main" id="{00000000-0008-0000-1D00-00000FC4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1215" name="Text Box 1">
          <a:extLst>
            <a:ext uri="{FF2B5EF4-FFF2-40B4-BE49-F238E27FC236}">
              <a16:creationId xmlns:a16="http://schemas.microsoft.com/office/drawing/2014/main" id="{00000000-0008-0000-1E00-00000FC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2</xdr:row>
      <xdr:rowOff>6350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2</xdr:row>
      <xdr:rowOff>6350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AF8C6D8-D66F-413B-B95E-8DC9013738A5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1F06F6E-CBA5-426F-9CC9-FC4FA78DCD4E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7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00000000-0008-0000-2200-0000F33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5A3077D-CA26-4C31-9DF7-598D6D498F77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112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F485E85-FB80-4088-8177-B1C49AE5D604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112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F730900-B1F0-45F9-AF77-64DE011BA30E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112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DF9FC7B-A942-4676-A47B-4BDAF465C5C9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00000000-0008-0000-0500-0000F41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00000000-0008-0000-0600-00000716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00000000-0008-0000-0700-0000F51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00000000-0008-0000-0800-0000F51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00000000-0008-0000-0900-0000F22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102"/>
  <sheetViews>
    <sheetView tabSelected="1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7.453125" customWidth="1"/>
    <col min="2" max="2" width="7" bestFit="1" customWidth="1"/>
    <col min="3" max="3" width="43.1796875" customWidth="1"/>
    <col min="4" max="4" width="9.54296875" customWidth="1"/>
    <col min="5" max="7" width="15.453125" bestFit="1" customWidth="1"/>
    <col min="8" max="8" width="2.81640625" customWidth="1"/>
    <col min="9" max="9" width="13.54296875" bestFit="1" customWidth="1"/>
    <col min="10" max="10" width="13.26953125" customWidth="1"/>
    <col min="11" max="11" width="12.81640625" bestFit="1" customWidth="1"/>
    <col min="12" max="12" width="15.26953125" customWidth="1"/>
    <col min="13" max="13" width="2.453125" customWidth="1"/>
    <col min="14" max="14" width="6.1796875" customWidth="1"/>
    <col min="15" max="15" width="8.7265625" customWidth="1"/>
    <col min="16" max="16" width="10.7265625" customWidth="1"/>
    <col min="17" max="17" width="14.453125" customWidth="1"/>
    <col min="18" max="18" width="18.7265625" customWidth="1"/>
    <col min="19" max="19" width="2.453125" customWidth="1"/>
    <col min="20" max="20" width="19.1796875" bestFit="1" customWidth="1"/>
    <col min="22" max="22" width="13.81640625" customWidth="1"/>
    <col min="24" max="24" width="59.26953125" bestFit="1" customWidth="1"/>
    <col min="29" max="29" width="9.1796875" customWidth="1"/>
  </cols>
  <sheetData>
    <row r="1" spans="1:24" ht="15.5">
      <c r="A1" t="s">
        <v>75</v>
      </c>
      <c r="H1" s="130" t="s">
        <v>157</v>
      </c>
      <c r="U1" s="447">
        <v>2025</v>
      </c>
    </row>
    <row r="2" spans="1:24" ht="15.5">
      <c r="H2" s="131" t="s">
        <v>189</v>
      </c>
      <c r="U2" s="447">
        <v>2026</v>
      </c>
    </row>
    <row r="3" spans="1:24" ht="15.5">
      <c r="H3" s="130" t="str">
        <f>"For Calendar Year "&amp;U1&amp;" and Projected Year "&amp;U2</f>
        <v>For Calendar Year 2025 and Projected Year 2026</v>
      </c>
    </row>
    <row r="4" spans="1:24" ht="15.5">
      <c r="H4" s="132"/>
    </row>
    <row r="5" spans="1:24" ht="15.5">
      <c r="H5" s="133" t="s">
        <v>158</v>
      </c>
    </row>
    <row r="7" spans="1:24" ht="18">
      <c r="C7" s="134"/>
      <c r="E7" s="134"/>
      <c r="F7" s="134"/>
      <c r="G7" s="134"/>
      <c r="H7" s="134" t="s">
        <v>124</v>
      </c>
      <c r="I7" s="134"/>
      <c r="J7" s="134"/>
      <c r="K7" s="134"/>
      <c r="L7" s="134"/>
    </row>
    <row r="8" spans="1:24" ht="12.5"/>
    <row r="9" spans="1:24" ht="12.5">
      <c r="A9" t="s">
        <v>260</v>
      </c>
    </row>
    <row r="12" spans="1:24" ht="22.5" customHeight="1">
      <c r="A12" s="135" t="s">
        <v>159</v>
      </c>
      <c r="B12" s="135" t="s">
        <v>160</v>
      </c>
      <c r="C12" s="136" t="s">
        <v>161</v>
      </c>
      <c r="D12" s="135" t="s">
        <v>162</v>
      </c>
      <c r="E12" s="135" t="s">
        <v>163</v>
      </c>
      <c r="F12" s="135" t="s">
        <v>164</v>
      </c>
      <c r="G12" s="135" t="str">
        <f>"(G) = "&amp;E12&amp;" + "&amp;F12</f>
        <v>(G) = (E) + (F)</v>
      </c>
      <c r="H12" s="135"/>
      <c r="I12" s="135" t="s">
        <v>165</v>
      </c>
      <c r="J12" s="135" t="s">
        <v>166</v>
      </c>
      <c r="K12" s="137" t="s">
        <v>197</v>
      </c>
      <c r="L12" s="135" t="str">
        <f>"(K) = "&amp;J12&amp;" - "&amp;K12</f>
        <v>(K) = (I) - (J)</v>
      </c>
      <c r="M12" s="135"/>
      <c r="N12" s="135" t="s">
        <v>198</v>
      </c>
      <c r="O12" s="135" t="s">
        <v>167</v>
      </c>
      <c r="P12" s="135" t="str">
        <f>"(N) = "&amp;N12&amp;"-"&amp;O12</f>
        <v>(N) = (L)-(M)</v>
      </c>
      <c r="Q12" s="135" t="s">
        <v>199</v>
      </c>
      <c r="R12" s="135" t="str">
        <f>"(P) = "&amp;I12&amp;"+"&amp;LEFT(L12,3)&amp;"+"&amp;LEFT(P12,3)&amp;"+"&amp;Q12</f>
        <v>(P) = (H)+(K)+(N)+(O)</v>
      </c>
      <c r="S12" s="135"/>
      <c r="T12" s="135" t="str">
        <f>"(Q) = "&amp;LEFT(G12,3)&amp;" + "&amp;LEFT(R12,3)</f>
        <v>(Q) = (G) + (P)</v>
      </c>
      <c r="U12" s="135"/>
      <c r="V12" s="138"/>
      <c r="W12" s="138"/>
    </row>
    <row r="13" spans="1:24" ht="16.5" customHeight="1">
      <c r="A13" s="7"/>
      <c r="B13" s="7"/>
      <c r="C13" s="7"/>
      <c r="D13" s="7"/>
      <c r="E13" s="475" t="str">
        <f>"Projected ARR For "&amp;U2&amp;" From WS-F"</f>
        <v>Projected ARR For 2026 From WS-F</v>
      </c>
      <c r="F13" s="475"/>
      <c r="G13" s="475"/>
      <c r="H13" s="7"/>
      <c r="I13" s="139" t="s">
        <v>426</v>
      </c>
      <c r="J13" s="139"/>
      <c r="K13" s="139"/>
      <c r="L13" s="139"/>
      <c r="M13" s="139"/>
      <c r="N13" s="139"/>
      <c r="O13" s="139"/>
      <c r="P13" s="139"/>
      <c r="Q13" s="139"/>
      <c r="R13" s="140"/>
      <c r="S13" s="7"/>
      <c r="T13" s="7"/>
      <c r="U13" s="7"/>
    </row>
    <row r="14" spans="1:24" ht="18" customHeight="1">
      <c r="I14" s="141"/>
      <c r="T14" s="476" t="str">
        <f>"Total ADJUSTED Revenue Requirement Effective
1/1/"&amp;U2&amp;""</f>
        <v>Total ADJUSTED Revenue Requirement Effective
1/1/2026</v>
      </c>
    </row>
    <row r="15" spans="1:24" ht="18" customHeight="1" thickBot="1">
      <c r="D15" s="7"/>
      <c r="E15" s="34"/>
      <c r="F15" s="34"/>
      <c r="G15" s="34"/>
      <c r="I15" s="139" t="s">
        <v>168</v>
      </c>
      <c r="J15" s="142"/>
      <c r="K15" s="142"/>
      <c r="L15" s="142"/>
      <c r="M15" s="143"/>
      <c r="N15" s="139" t="s">
        <v>196</v>
      </c>
      <c r="O15" s="144"/>
      <c r="P15" s="144"/>
      <c r="Q15" s="145"/>
      <c r="T15" s="476"/>
    </row>
    <row r="16" spans="1:24" ht="69" customHeight="1">
      <c r="A16" s="146" t="s">
        <v>179</v>
      </c>
      <c r="B16" s="147" t="s">
        <v>169</v>
      </c>
      <c r="C16" s="147" t="s">
        <v>131</v>
      </c>
      <c r="D16" s="146" t="s">
        <v>170</v>
      </c>
      <c r="E16" s="148" t="s">
        <v>194</v>
      </c>
      <c r="F16" s="147" t="s">
        <v>171</v>
      </c>
      <c r="G16" s="147" t="s">
        <v>172</v>
      </c>
      <c r="I16" s="148" t="s">
        <v>193</v>
      </c>
      <c r="J16" s="448" t="s">
        <v>223</v>
      </c>
      <c r="K16" s="448" t="s">
        <v>213</v>
      </c>
      <c r="L16" s="148" t="s">
        <v>195</v>
      </c>
      <c r="M16" s="148"/>
      <c r="N16" s="146" t="s">
        <v>173</v>
      </c>
      <c r="O16" s="146" t="s">
        <v>174</v>
      </c>
      <c r="P16" s="147" t="s">
        <v>175</v>
      </c>
      <c r="Q16" s="147" t="s">
        <v>176</v>
      </c>
      <c r="R16" s="148" t="s">
        <v>220</v>
      </c>
      <c r="T16" s="476"/>
      <c r="V16" s="149" t="s">
        <v>200</v>
      </c>
      <c r="X16" t="s">
        <v>380</v>
      </c>
    </row>
    <row r="17" spans="1:24" ht="13">
      <c r="B17" s="7"/>
      <c r="C17" s="7"/>
      <c r="E17" s="26"/>
      <c r="F17" s="26"/>
      <c r="G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T17" s="26"/>
      <c r="V17" s="150"/>
    </row>
    <row r="18" spans="1:24" ht="13">
      <c r="A18" s="135" t="s">
        <v>178</v>
      </c>
      <c r="B18" s="135" t="s">
        <v>117</v>
      </c>
      <c r="C18" s="151" t="str">
        <f t="shared" ref="C18:F37" ca="1" si="0">INDIRECT("'"&amp; $A18 &amp; "'!" &amp;C$63)</f>
        <v>Riverside-Glenpool (81-523) Reconductor</v>
      </c>
      <c r="D18" s="152">
        <f t="shared" ca="1" si="0"/>
        <v>2009</v>
      </c>
      <c r="E18" s="441">
        <f t="shared" ca="1" si="0"/>
        <v>88150.254416436714</v>
      </c>
      <c r="F18" s="466">
        <f t="shared" ca="1" si="0"/>
        <v>0</v>
      </c>
      <c r="G18" s="154">
        <f t="shared" ref="G18:G27" ca="1" si="1">+E18+F18</f>
        <v>88150.254416436714</v>
      </c>
      <c r="H18" s="138"/>
      <c r="I18" s="155">
        <v>8456.8804758506303</v>
      </c>
      <c r="J18" s="155">
        <v>89462.66372975886</v>
      </c>
      <c r="K18" s="155">
        <v>97479.325058356844</v>
      </c>
      <c r="L18" s="153">
        <f t="shared" ref="L18:L27" si="2">+J18-K18</f>
        <v>-8016.6613285979838</v>
      </c>
      <c r="M18" s="153"/>
      <c r="N18" s="466">
        <v>0</v>
      </c>
      <c r="O18" s="466">
        <v>0</v>
      </c>
      <c r="P18" s="466">
        <f t="shared" ref="P18:P26" si="3">+N18-O18</f>
        <v>0</v>
      </c>
      <c r="Q18" s="443">
        <f t="shared" ref="Q18:Q50" si="4">+V18/$V$56 * $Q$56</f>
        <v>960.15264809911037</v>
      </c>
      <c r="R18" s="156">
        <f t="shared" ref="R18:R27" si="5">I18+L18+P18+Q18</f>
        <v>1400.3717953517569</v>
      </c>
      <c r="S18" s="156"/>
      <c r="T18" s="157">
        <f t="shared" ref="T18:T27" ca="1" si="6">+G18+R18</f>
        <v>89550.626211788476</v>
      </c>
      <c r="V18" s="158">
        <f t="shared" ref="V18:V27" si="7">+I18+L18+P18</f>
        <v>440.21914725264651</v>
      </c>
      <c r="W18" s="138" t="str">
        <f>A18</f>
        <v>P.001</v>
      </c>
      <c r="X18" t="s">
        <v>434</v>
      </c>
    </row>
    <row r="19" spans="1:24" ht="13">
      <c r="A19" s="135" t="s">
        <v>180</v>
      </c>
      <c r="B19" s="135" t="s">
        <v>117</v>
      </c>
      <c r="C19" s="151" t="str">
        <f t="shared" ca="1" si="0"/>
        <v>Craig Jct. to Broken Bow Dam 138 Rebuild (7.7mi)</v>
      </c>
      <c r="D19" s="152">
        <f t="shared" ca="1" si="0"/>
        <v>2009</v>
      </c>
      <c r="E19" s="441">
        <f t="shared" ca="1" si="0"/>
        <v>457032.86860895861</v>
      </c>
      <c r="F19" s="466">
        <f t="shared" ca="1" si="0"/>
        <v>0</v>
      </c>
      <c r="G19" s="154">
        <f t="shared" ca="1" si="1"/>
        <v>457032.86860895861</v>
      </c>
      <c r="H19" s="138"/>
      <c r="I19" s="155">
        <v>48834.357474322722</v>
      </c>
      <c r="J19" s="155">
        <v>468824.64618251205</v>
      </c>
      <c r="K19" s="155">
        <v>510835.56173380901</v>
      </c>
      <c r="L19" s="153">
        <f t="shared" si="2"/>
        <v>-42010.915551296959</v>
      </c>
      <c r="M19" s="153"/>
      <c r="N19" s="466">
        <v>0</v>
      </c>
      <c r="O19" s="466">
        <v>0</v>
      </c>
      <c r="P19" s="466">
        <f t="shared" si="3"/>
        <v>0</v>
      </c>
      <c r="Q19" s="443">
        <f t="shared" si="4"/>
        <v>14882.464500763001</v>
      </c>
      <c r="R19" s="156">
        <f t="shared" si="5"/>
        <v>21705.906423788765</v>
      </c>
      <c r="S19" s="156"/>
      <c r="T19" s="159">
        <f t="shared" ca="1" si="6"/>
        <v>478738.77503274736</v>
      </c>
      <c r="V19" s="158">
        <f t="shared" si="7"/>
        <v>6823.4419230257627</v>
      </c>
      <c r="W19" s="138" t="str">
        <f t="shared" ref="W19:W25" si="8">A19</f>
        <v>P.002</v>
      </c>
      <c r="X19" t="s">
        <v>435</v>
      </c>
    </row>
    <row r="20" spans="1:24" ht="25">
      <c r="A20" s="135" t="s">
        <v>181</v>
      </c>
      <c r="B20" s="135" t="s">
        <v>117</v>
      </c>
      <c r="C20" s="160" t="str">
        <f t="shared" ca="1" si="0"/>
        <v>WFEC New 138 kV Ties: Sayre to Erick (WFEC) Line &amp; Atoka and Tupelo station work</v>
      </c>
      <c r="D20" s="152">
        <f t="shared" ca="1" si="0"/>
        <v>2009</v>
      </c>
      <c r="E20" s="441">
        <f t="shared" ca="1" si="0"/>
        <v>1125776.1138862811</v>
      </c>
      <c r="F20" s="466">
        <f t="shared" ca="1" si="0"/>
        <v>0</v>
      </c>
      <c r="G20" s="154">
        <f t="shared" ca="1" si="1"/>
        <v>1125776.1138862811</v>
      </c>
      <c r="H20" s="138"/>
      <c r="I20" s="155">
        <v>114588.14052377664</v>
      </c>
      <c r="J20" s="155">
        <v>1148317.4014260659</v>
      </c>
      <c r="K20" s="155">
        <v>1251216.9946326371</v>
      </c>
      <c r="L20" s="153">
        <f t="shared" si="2"/>
        <v>-102899.59320657118</v>
      </c>
      <c r="M20" s="153"/>
      <c r="N20" s="466">
        <v>0</v>
      </c>
      <c r="O20" s="466">
        <v>0</v>
      </c>
      <c r="P20" s="466">
        <f t="shared" si="3"/>
        <v>0</v>
      </c>
      <c r="Q20" s="443">
        <f t="shared" si="4"/>
        <v>25493.642721100674</v>
      </c>
      <c r="R20" s="156">
        <f t="shared" si="5"/>
        <v>37182.190038306137</v>
      </c>
      <c r="S20" s="156"/>
      <c r="T20" s="159">
        <f t="shared" ca="1" si="6"/>
        <v>1162958.3039245873</v>
      </c>
      <c r="V20" s="158">
        <f t="shared" si="7"/>
        <v>11688.547317205463</v>
      </c>
      <c r="W20" s="138" t="str">
        <f t="shared" si="8"/>
        <v>P.003</v>
      </c>
      <c r="X20" t="s">
        <v>436</v>
      </c>
    </row>
    <row r="21" spans="1:24" ht="25">
      <c r="A21" s="135" t="s">
        <v>182</v>
      </c>
      <c r="B21" s="135" t="s">
        <v>117</v>
      </c>
      <c r="C21" s="160" t="str">
        <f t="shared" ca="1" si="0"/>
        <v>Cache-Snyder to Altus Jct. 138 kV line (w/2 ring bus stations)</v>
      </c>
      <c r="D21" s="152">
        <f t="shared" ca="1" si="0"/>
        <v>2008</v>
      </c>
      <c r="E21" s="441">
        <f t="shared" ca="1" si="0"/>
        <v>1401235.2</v>
      </c>
      <c r="F21" s="466">
        <f t="shared" ca="1" si="0"/>
        <v>0</v>
      </c>
      <c r="G21" s="154">
        <f t="shared" ca="1" si="1"/>
        <v>1401235.2</v>
      </c>
      <c r="H21" s="138"/>
      <c r="I21" s="155">
        <v>130061.14016775577</v>
      </c>
      <c r="J21" s="155">
        <v>1420660.7582774439</v>
      </c>
      <c r="K21" s="155">
        <v>1547964.7718974971</v>
      </c>
      <c r="L21" s="153">
        <f t="shared" si="2"/>
        <v>-127304.01362005319</v>
      </c>
      <c r="M21" s="153"/>
      <c r="N21" s="466">
        <v>0</v>
      </c>
      <c r="O21" s="466">
        <v>0</v>
      </c>
      <c r="P21" s="466">
        <f t="shared" si="3"/>
        <v>0</v>
      </c>
      <c r="Q21" s="443">
        <f t="shared" si="4"/>
        <v>6013.5102537957218</v>
      </c>
      <c r="R21" s="156">
        <f t="shared" si="5"/>
        <v>8770.6368014983091</v>
      </c>
      <c r="S21" s="156"/>
      <c r="T21" s="159">
        <f t="shared" ca="1" si="6"/>
        <v>1410005.8368014982</v>
      </c>
      <c r="V21" s="158">
        <f t="shared" si="7"/>
        <v>2757.1265477025881</v>
      </c>
      <c r="W21" s="138" t="str">
        <f t="shared" si="8"/>
        <v>P.004</v>
      </c>
      <c r="X21" t="s">
        <v>437</v>
      </c>
    </row>
    <row r="22" spans="1:24" ht="13">
      <c r="A22" s="137" t="s">
        <v>183</v>
      </c>
      <c r="B22" s="135" t="s">
        <v>117</v>
      </c>
      <c r="C22" s="160" t="str">
        <f t="shared" ca="1" si="0"/>
        <v>Catoosa 138 kV Device (Cap. Bank)</v>
      </c>
      <c r="D22" s="152">
        <f t="shared" ca="1" si="0"/>
        <v>2006</v>
      </c>
      <c r="E22" s="441">
        <f t="shared" ca="1" si="0"/>
        <v>35416.399968878912</v>
      </c>
      <c r="F22" s="466">
        <f t="shared" ca="1" si="0"/>
        <v>0</v>
      </c>
      <c r="G22" s="154">
        <f t="shared" ca="1" si="1"/>
        <v>35416.399968878912</v>
      </c>
      <c r="H22" s="138"/>
      <c r="I22" s="155">
        <v>3557.5476424866283</v>
      </c>
      <c r="J22" s="155">
        <v>36405.294117035723</v>
      </c>
      <c r="K22" s="155">
        <v>39667.536725705053</v>
      </c>
      <c r="L22" s="153">
        <f t="shared" si="2"/>
        <v>-3262.2426086693304</v>
      </c>
      <c r="M22" s="153"/>
      <c r="N22" s="466">
        <v>0</v>
      </c>
      <c r="O22" s="466">
        <v>0</v>
      </c>
      <c r="P22" s="466">
        <f t="shared" si="3"/>
        <v>0</v>
      </c>
      <c r="Q22" s="443">
        <f t="shared" si="4"/>
        <v>644.08354790154215</v>
      </c>
      <c r="R22" s="156">
        <f t="shared" si="5"/>
        <v>939.3885817188401</v>
      </c>
      <c r="S22" s="156"/>
      <c r="T22" s="159">
        <f t="shared" ca="1" si="6"/>
        <v>36355.788550597754</v>
      </c>
      <c r="V22" s="158">
        <f t="shared" si="7"/>
        <v>295.30503381729795</v>
      </c>
      <c r="W22" s="138" t="str">
        <f t="shared" si="8"/>
        <v>P.005</v>
      </c>
      <c r="X22" t="s">
        <v>438</v>
      </c>
    </row>
    <row r="23" spans="1:24" ht="13">
      <c r="A23" s="135" t="s">
        <v>184</v>
      </c>
      <c r="B23" s="135" t="s">
        <v>117</v>
      </c>
      <c r="C23" s="160" t="str">
        <f t="shared" ca="1" si="0"/>
        <v>Pryor Junction 138/69 Upgrade Transf</v>
      </c>
      <c r="D23" s="152">
        <f t="shared" ca="1" si="0"/>
        <v>2008</v>
      </c>
      <c r="E23" s="441">
        <f t="shared" ca="1" si="0"/>
        <v>145425.95272149655</v>
      </c>
      <c r="F23" s="466">
        <f t="shared" ca="1" si="0"/>
        <v>0</v>
      </c>
      <c r="G23" s="154">
        <f t="shared" ca="1" si="1"/>
        <v>145425.95272149655</v>
      </c>
      <c r="H23" s="138"/>
      <c r="I23" s="155">
        <v>14589.853555077774</v>
      </c>
      <c r="J23" s="155">
        <v>148666.60848890175</v>
      </c>
      <c r="K23" s="155">
        <v>161988.47709239999</v>
      </c>
      <c r="L23" s="153">
        <f t="shared" si="2"/>
        <v>-13321.868603498238</v>
      </c>
      <c r="M23" s="153"/>
      <c r="N23" s="466">
        <v>0</v>
      </c>
      <c r="O23" s="466">
        <v>0</v>
      </c>
      <c r="P23" s="466">
        <f t="shared" si="3"/>
        <v>0</v>
      </c>
      <c r="Q23" s="443">
        <f t="shared" si="4"/>
        <v>2765.5750927848685</v>
      </c>
      <c r="R23" s="156">
        <f t="shared" si="5"/>
        <v>4033.5600443644043</v>
      </c>
      <c r="S23" s="156"/>
      <c r="T23" s="159">
        <f t="shared" ca="1" si="6"/>
        <v>149459.51276586094</v>
      </c>
      <c r="V23" s="158">
        <f t="shared" si="7"/>
        <v>1267.9849515795358</v>
      </c>
      <c r="W23" s="138" t="str">
        <f t="shared" si="8"/>
        <v>P.006</v>
      </c>
      <c r="X23" t="s">
        <v>439</v>
      </c>
    </row>
    <row r="24" spans="1:24" ht="13">
      <c r="A24" s="135" t="s">
        <v>185</v>
      </c>
      <c r="B24" s="135" t="s">
        <v>117</v>
      </c>
      <c r="C24" s="160" t="str">
        <f t="shared" ca="1" si="0"/>
        <v>Elk City - Elk City 69 kV line (CT Upgrades)*</v>
      </c>
      <c r="D24" s="152">
        <f t="shared" ca="1" si="0"/>
        <v>2007</v>
      </c>
      <c r="E24" s="441">
        <f t="shared" ca="1" si="0"/>
        <v>8032.1425020482975</v>
      </c>
      <c r="F24" s="466">
        <f t="shared" ca="1" si="0"/>
        <v>0</v>
      </c>
      <c r="G24" s="154">
        <f t="shared" ca="1" si="1"/>
        <v>8032.1425020482975</v>
      </c>
      <c r="H24" s="138"/>
      <c r="I24" s="155">
        <v>781.9456033299939</v>
      </c>
      <c r="J24" s="155">
        <v>8195.757211601207</v>
      </c>
      <c r="K24" s="155">
        <v>8930.170956482425</v>
      </c>
      <c r="L24" s="153">
        <f t="shared" si="2"/>
        <v>-734.41374488121801</v>
      </c>
      <c r="M24" s="153"/>
      <c r="N24" s="466">
        <v>0</v>
      </c>
      <c r="O24" s="466">
        <v>0</v>
      </c>
      <c r="P24" s="466">
        <f t="shared" si="3"/>
        <v>0</v>
      </c>
      <c r="Q24" s="443">
        <f t="shared" si="4"/>
        <v>103.67072864386836</v>
      </c>
      <c r="R24" s="156">
        <f t="shared" si="5"/>
        <v>151.20258709264425</v>
      </c>
      <c r="S24" s="161" t="s">
        <v>224</v>
      </c>
      <c r="T24" s="159">
        <f t="shared" ca="1" si="6"/>
        <v>8183.345089140942</v>
      </c>
      <c r="V24" s="158">
        <f t="shared" si="7"/>
        <v>47.531858448775893</v>
      </c>
      <c r="W24" s="138" t="str">
        <f t="shared" si="8"/>
        <v>P.007</v>
      </c>
      <c r="X24" t="s">
        <v>440</v>
      </c>
    </row>
    <row r="25" spans="1:24" ht="25">
      <c r="A25" s="135" t="s">
        <v>186</v>
      </c>
      <c r="B25" s="135" t="s">
        <v>117</v>
      </c>
      <c r="C25" s="160" t="str">
        <f t="shared" ca="1" si="0"/>
        <v>Weleetka &amp; Okmulgee Wavetrap replacement 81-805*</v>
      </c>
      <c r="D25" s="152">
        <f t="shared" ca="1" si="0"/>
        <v>2006</v>
      </c>
      <c r="E25" s="441">
        <f t="shared" ca="1" si="0"/>
        <v>5134.7818637532</v>
      </c>
      <c r="F25" s="466">
        <f t="shared" ca="1" si="0"/>
        <v>0</v>
      </c>
      <c r="G25" s="154">
        <f t="shared" ca="1" si="1"/>
        <v>5134.7818637532</v>
      </c>
      <c r="H25" s="138"/>
      <c r="I25" s="155">
        <v>587.26247774677176</v>
      </c>
      <c r="J25" s="155">
        <v>5339.7022057709664</v>
      </c>
      <c r="K25" s="155">
        <v>5818.1876699254863</v>
      </c>
      <c r="L25" s="153">
        <f t="shared" si="2"/>
        <v>-478.48546415451983</v>
      </c>
      <c r="M25" s="153"/>
      <c r="N25" s="466">
        <v>0</v>
      </c>
      <c r="O25" s="466">
        <v>0</v>
      </c>
      <c r="P25" s="466">
        <f t="shared" si="3"/>
        <v>0</v>
      </c>
      <c r="Q25" s="443">
        <f t="shared" si="4"/>
        <v>237.25123794529756</v>
      </c>
      <c r="R25" s="156">
        <f t="shared" si="5"/>
        <v>346.02825153754952</v>
      </c>
      <c r="S25" s="161" t="s">
        <v>224</v>
      </c>
      <c r="T25" s="159">
        <f t="shared" ca="1" si="6"/>
        <v>5480.8101152907493</v>
      </c>
      <c r="V25" s="158">
        <f>+I25+L25+P25</f>
        <v>108.77701359225193</v>
      </c>
      <c r="W25" s="138" t="str">
        <f t="shared" si="8"/>
        <v>P.008</v>
      </c>
      <c r="X25" t="s">
        <v>441</v>
      </c>
    </row>
    <row r="26" spans="1:24" ht="13">
      <c r="A26" s="135" t="s">
        <v>187</v>
      </c>
      <c r="B26" s="135" t="s">
        <v>117</v>
      </c>
      <c r="C26" s="160" t="str">
        <f t="shared" ca="1" si="0"/>
        <v>Tulsa Southeast Upgrade (repl switches)*</v>
      </c>
      <c r="D26" s="152">
        <f t="shared" ca="1" si="0"/>
        <v>2007</v>
      </c>
      <c r="E26" s="441">
        <f t="shared" ca="1" si="0"/>
        <v>6801.2621062915832</v>
      </c>
      <c r="F26" s="466">
        <f t="shared" ca="1" si="0"/>
        <v>0</v>
      </c>
      <c r="G26" s="154">
        <f t="shared" ca="1" si="1"/>
        <v>6801.2621062915832</v>
      </c>
      <c r="H26" s="138"/>
      <c r="I26" s="155">
        <v>774.75914990022738</v>
      </c>
      <c r="J26" s="155">
        <v>7049.8642720221578</v>
      </c>
      <c r="K26" s="155">
        <v>7681.5956773389553</v>
      </c>
      <c r="L26" s="153">
        <f t="shared" si="2"/>
        <v>-631.73140531679746</v>
      </c>
      <c r="M26" s="153"/>
      <c r="N26" s="466">
        <v>0</v>
      </c>
      <c r="O26" s="466">
        <v>0</v>
      </c>
      <c r="P26" s="466">
        <f t="shared" si="3"/>
        <v>0</v>
      </c>
      <c r="Q26" s="443">
        <f t="shared" si="4"/>
        <v>311.95478109135757</v>
      </c>
      <c r="R26" s="156">
        <f t="shared" si="5"/>
        <v>454.9825256747875</v>
      </c>
      <c r="S26" s="161" t="s">
        <v>224</v>
      </c>
      <c r="T26" s="159">
        <f t="shared" ca="1" si="6"/>
        <v>7256.2446319663704</v>
      </c>
      <c r="V26" s="158">
        <f t="shared" si="7"/>
        <v>143.02774458342992</v>
      </c>
      <c r="W26" s="138" t="str">
        <f t="shared" ref="W26:W31" si="9">A26</f>
        <v>P.009</v>
      </c>
      <c r="X26" t="s">
        <v>442</v>
      </c>
    </row>
    <row r="27" spans="1:24" ht="13">
      <c r="A27" s="135" t="s">
        <v>222</v>
      </c>
      <c r="B27" s="135" t="s">
        <v>117</v>
      </c>
      <c r="C27" s="160" t="str">
        <f t="shared" ca="1" si="0"/>
        <v>Wavetrap Clinton City-Foss Tap 69kV Ckt 1*</v>
      </c>
      <c r="D27" s="152">
        <f t="shared" ca="1" si="0"/>
        <v>2010</v>
      </c>
      <c r="E27" s="441">
        <f t="shared" ca="1" si="0"/>
        <v>9653.21052631579</v>
      </c>
      <c r="F27" s="466">
        <f t="shared" ca="1" si="0"/>
        <v>0</v>
      </c>
      <c r="G27" s="154">
        <f t="shared" ca="1" si="1"/>
        <v>9653.21052631579</v>
      </c>
      <c r="H27" s="138"/>
      <c r="I27" s="155">
        <v>1024.5102687936742</v>
      </c>
      <c r="J27" s="155">
        <v>9867.7882600246721</v>
      </c>
      <c r="K27" s="155">
        <v>10752.031063054681</v>
      </c>
      <c r="L27" s="153">
        <f t="shared" si="2"/>
        <v>-884.24280303000887</v>
      </c>
      <c r="M27" s="153"/>
      <c r="N27" s="466">
        <v>0</v>
      </c>
      <c r="O27" s="466">
        <v>0</v>
      </c>
      <c r="P27" s="466">
        <f t="shared" ref="P27:P33" si="10">+N27-O27</f>
        <v>0</v>
      </c>
      <c r="Q27" s="443">
        <f t="shared" si="4"/>
        <v>305.93439548380502</v>
      </c>
      <c r="R27" s="156">
        <f t="shared" si="5"/>
        <v>446.20186124747033</v>
      </c>
      <c r="S27" s="156"/>
      <c r="T27" s="159">
        <f t="shared" ca="1" si="6"/>
        <v>10099.412387563261</v>
      </c>
      <c r="V27" s="158">
        <f t="shared" si="7"/>
        <v>140.26746576366531</v>
      </c>
      <c r="W27" s="138" t="str">
        <f t="shared" si="9"/>
        <v>P.010</v>
      </c>
      <c r="X27" t="s">
        <v>443</v>
      </c>
    </row>
    <row r="28" spans="1:24" ht="13">
      <c r="A28" s="137" t="s">
        <v>230</v>
      </c>
      <c r="B28" s="135" t="s">
        <v>117</v>
      </c>
      <c r="C28" s="160" t="str">
        <f t="shared" ca="1" si="0"/>
        <v>Bartlesville SE to Coffeyville T Rebuild</v>
      </c>
      <c r="D28" s="152">
        <f t="shared" ca="1" si="0"/>
        <v>2011</v>
      </c>
      <c r="E28" s="441">
        <f t="shared" ca="1" si="0"/>
        <v>143506.99</v>
      </c>
      <c r="F28" s="466">
        <f t="shared" ca="1" si="0"/>
        <v>0</v>
      </c>
      <c r="G28" s="154">
        <f t="shared" ref="G28:G33" ca="1" si="11">+E28+F28</f>
        <v>143506.99</v>
      </c>
      <c r="H28" s="138"/>
      <c r="I28" s="155">
        <v>14542.716447920189</v>
      </c>
      <c r="J28" s="155">
        <v>159718.57699056924</v>
      </c>
      <c r="K28" s="155">
        <v>174030.80162415211</v>
      </c>
      <c r="L28" s="153">
        <f t="shared" ref="L28:L33" si="12">+J28-K28</f>
        <v>-14312.224633582868</v>
      </c>
      <c r="M28" s="153"/>
      <c r="N28" s="466">
        <v>0</v>
      </c>
      <c r="O28" s="466">
        <v>0</v>
      </c>
      <c r="P28" s="466">
        <f t="shared" si="10"/>
        <v>0</v>
      </c>
      <c r="Q28" s="443">
        <f t="shared" si="4"/>
        <v>502.72080912949735</v>
      </c>
      <c r="R28" s="156">
        <f t="shared" ref="R28:R33" si="13">I28+L28+P28+Q28</f>
        <v>733.21262346681897</v>
      </c>
      <c r="S28" s="156"/>
      <c r="T28" s="159">
        <f t="shared" ref="T28:T33" ca="1" si="14">+G28+R28</f>
        <v>144240.20262346682</v>
      </c>
      <c r="V28" s="158">
        <f t="shared" ref="V28:V33" si="15">+I28+L28+P28</f>
        <v>230.49181433732156</v>
      </c>
      <c r="W28" s="138" t="str">
        <f t="shared" si="9"/>
        <v>P.011</v>
      </c>
      <c r="X28" t="s">
        <v>444</v>
      </c>
    </row>
    <row r="29" spans="1:24" ht="25">
      <c r="A29" s="137" t="s">
        <v>238</v>
      </c>
      <c r="B29" s="135" t="s">
        <v>117</v>
      </c>
      <c r="C29" s="160" t="str">
        <f t="shared" ca="1" si="0"/>
        <v>Canadian River - McAlester City 138 kV Line Conversion</v>
      </c>
      <c r="D29" s="152">
        <f t="shared" ca="1" si="0"/>
        <v>2013</v>
      </c>
      <c r="E29" s="441">
        <f t="shared" ca="1" si="0"/>
        <v>362646.86842105264</v>
      </c>
      <c r="F29" s="466">
        <f t="shared" ca="1" si="0"/>
        <v>0</v>
      </c>
      <c r="G29" s="154">
        <f t="shared" ca="1" si="11"/>
        <v>362646.86842105264</v>
      </c>
      <c r="H29" s="138"/>
      <c r="I29" s="155">
        <v>34103.128096290224</v>
      </c>
      <c r="J29" s="155">
        <v>376690.41052741749</v>
      </c>
      <c r="K29" s="155">
        <v>410445.26781683147</v>
      </c>
      <c r="L29" s="153">
        <f t="shared" si="12"/>
        <v>-33754.85728941398</v>
      </c>
      <c r="M29" s="153"/>
      <c r="N29" s="466">
        <v>0</v>
      </c>
      <c r="O29" s="466">
        <v>0</v>
      </c>
      <c r="P29" s="466">
        <f t="shared" si="10"/>
        <v>0</v>
      </c>
      <c r="Q29" s="443">
        <f t="shared" si="4"/>
        <v>759.60607248627412</v>
      </c>
      <c r="R29" s="156">
        <f t="shared" si="13"/>
        <v>1107.8768793625181</v>
      </c>
      <c r="S29" s="156"/>
      <c r="T29" s="159">
        <f t="shared" ca="1" si="14"/>
        <v>363754.74530041515</v>
      </c>
      <c r="V29" s="158">
        <f t="shared" si="15"/>
        <v>348.27080687624402</v>
      </c>
      <c r="W29" s="138" t="str">
        <f t="shared" si="9"/>
        <v>P.012</v>
      </c>
      <c r="X29" t="s">
        <v>445</v>
      </c>
    </row>
    <row r="30" spans="1:24" ht="15.75" customHeight="1">
      <c r="A30" s="137" t="s">
        <v>240</v>
      </c>
      <c r="B30" s="135" t="s">
        <v>117</v>
      </c>
      <c r="C30" s="160" t="str">
        <f t="shared" ca="1" si="0"/>
        <v>CoffeyvilleT to Dearing 138 kv Rebuild - 1.1 mi*</v>
      </c>
      <c r="D30" s="152">
        <f t="shared" ca="1" si="0"/>
        <v>2010</v>
      </c>
      <c r="E30" s="441">
        <f t="shared" ca="1" si="0"/>
        <v>2317.5</v>
      </c>
      <c r="F30" s="466">
        <f t="shared" ca="1" si="0"/>
        <v>0</v>
      </c>
      <c r="G30" s="154">
        <f t="shared" ca="1" si="11"/>
        <v>2317.5</v>
      </c>
      <c r="H30" s="138"/>
      <c r="I30" s="155">
        <v>235.67476577621392</v>
      </c>
      <c r="J30" s="155">
        <v>2347.8084569597795</v>
      </c>
      <c r="K30" s="155">
        <v>2558.1932641986896</v>
      </c>
      <c r="L30" s="153">
        <f t="shared" si="12"/>
        <v>-210.38480723891007</v>
      </c>
      <c r="M30" s="153"/>
      <c r="N30" s="466">
        <v>0</v>
      </c>
      <c r="O30" s="466">
        <v>0</v>
      </c>
      <c r="P30" s="466">
        <f t="shared" si="10"/>
        <v>0</v>
      </c>
      <c r="Q30" s="443">
        <f t="shared" si="4"/>
        <v>55.159392342317098</v>
      </c>
      <c r="R30" s="156">
        <f t="shared" si="13"/>
        <v>80.449350879620937</v>
      </c>
      <c r="S30" s="156"/>
      <c r="T30" s="159">
        <f t="shared" ca="1" si="14"/>
        <v>2397.9493508796209</v>
      </c>
      <c r="V30" s="158">
        <f t="shared" si="15"/>
        <v>25.289958537303846</v>
      </c>
      <c r="W30" s="138" t="str">
        <f t="shared" si="9"/>
        <v>P.013</v>
      </c>
      <c r="X30" t="s">
        <v>446</v>
      </c>
    </row>
    <row r="31" spans="1:24" ht="15.75" customHeight="1">
      <c r="A31" s="162" t="s">
        <v>243</v>
      </c>
      <c r="B31" s="135" t="s">
        <v>117</v>
      </c>
      <c r="C31" s="160" t="str">
        <f t="shared" ca="1" si="0"/>
        <v>Ashdown West - Craig Junction</v>
      </c>
      <c r="D31" s="152">
        <f t="shared" ca="1" si="0"/>
        <v>2013</v>
      </c>
      <c r="E31" s="441">
        <f t="shared" ca="1" si="0"/>
        <v>100771.36842105263</v>
      </c>
      <c r="F31" s="466">
        <f t="shared" ca="1" si="0"/>
        <v>0</v>
      </c>
      <c r="G31" s="154">
        <f t="shared" ca="1" si="11"/>
        <v>100771.36842105263</v>
      </c>
      <c r="H31" s="138"/>
      <c r="I31" s="155">
        <v>20852.848174662518</v>
      </c>
      <c r="J31" s="155">
        <v>111982.99536823592</v>
      </c>
      <c r="K31" s="155">
        <v>122017.68147081933</v>
      </c>
      <c r="L31" s="153">
        <f t="shared" si="12"/>
        <v>-10034.686102583408</v>
      </c>
      <c r="M31" s="153"/>
      <c r="N31" s="466">
        <v>0</v>
      </c>
      <c r="O31" s="466">
        <v>0</v>
      </c>
      <c r="P31" s="466">
        <f t="shared" si="10"/>
        <v>0</v>
      </c>
      <c r="Q31" s="443">
        <f t="shared" si="4"/>
        <v>23595.263917747896</v>
      </c>
      <c r="R31" s="156">
        <f t="shared" si="13"/>
        <v>34413.42598982701</v>
      </c>
      <c r="S31" s="156"/>
      <c r="T31" s="159">
        <f t="shared" ca="1" si="14"/>
        <v>135184.79441087964</v>
      </c>
      <c r="V31" s="158">
        <f t="shared" si="15"/>
        <v>10818.162072079111</v>
      </c>
      <c r="W31" s="138" t="str">
        <f t="shared" si="9"/>
        <v>P.014</v>
      </c>
      <c r="X31" t="s">
        <v>447</v>
      </c>
    </row>
    <row r="32" spans="1:24" ht="25.5" customHeight="1">
      <c r="A32" s="162" t="s">
        <v>256</v>
      </c>
      <c r="B32" s="135" t="s">
        <v>117</v>
      </c>
      <c r="C32" s="160" t="str">
        <f t="shared" ca="1" si="0"/>
        <v>Locust Grove to Lone Star 115 kV Rebuild 2.1 miles</v>
      </c>
      <c r="D32" s="152">
        <f t="shared" ca="1" si="0"/>
        <v>2014</v>
      </c>
      <c r="E32" s="441">
        <f t="shared" ca="1" si="0"/>
        <v>243949.81578947368</v>
      </c>
      <c r="F32" s="466">
        <f t="shared" ca="1" si="0"/>
        <v>0</v>
      </c>
      <c r="G32" s="154">
        <f t="shared" ca="1" si="11"/>
        <v>243949.81578947368</v>
      </c>
      <c r="H32" s="138"/>
      <c r="I32" s="155">
        <v>25475.797153102001</v>
      </c>
      <c r="J32" s="155">
        <v>246846.72086541692</v>
      </c>
      <c r="K32" s="155">
        <v>268966.41279892181</v>
      </c>
      <c r="L32" s="153">
        <f t="shared" si="12"/>
        <v>-22119.691933504888</v>
      </c>
      <c r="M32" s="153"/>
      <c r="N32" s="466">
        <v>0</v>
      </c>
      <c r="O32" s="466">
        <v>0</v>
      </c>
      <c r="P32" s="466">
        <f t="shared" si="10"/>
        <v>0</v>
      </c>
      <c r="Q32" s="443">
        <f t="shared" si="4"/>
        <v>7319.9299349104876</v>
      </c>
      <c r="R32" s="156">
        <f t="shared" si="13"/>
        <v>10676.035154507601</v>
      </c>
      <c r="S32" s="156"/>
      <c r="T32" s="159">
        <f t="shared" ca="1" si="14"/>
        <v>254625.85094398129</v>
      </c>
      <c r="V32" s="158">
        <f t="shared" si="15"/>
        <v>3356.1052195971133</v>
      </c>
      <c r="W32" s="138" t="str">
        <f t="shared" ref="W32:W39" si="16">A32</f>
        <v>P.015</v>
      </c>
      <c r="X32" t="s">
        <v>448</v>
      </c>
    </row>
    <row r="33" spans="1:24" ht="15.75" customHeight="1">
      <c r="A33" s="162" t="s">
        <v>257</v>
      </c>
      <c r="B33" s="135" t="s">
        <v>117</v>
      </c>
      <c r="C33" s="160" t="str">
        <f t="shared" ca="1" si="0"/>
        <v>Cornville Station Conversion</v>
      </c>
      <c r="D33" s="152">
        <f t="shared" ca="1" si="0"/>
        <v>2014</v>
      </c>
      <c r="E33" s="441">
        <f t="shared" ca="1" si="0"/>
        <v>558514.89578947367</v>
      </c>
      <c r="F33" s="466">
        <f t="shared" ca="1" si="0"/>
        <v>0</v>
      </c>
      <c r="G33" s="154">
        <f t="shared" ca="1" si="11"/>
        <v>558514.89578947367</v>
      </c>
      <c r="H33" s="138"/>
      <c r="I33" s="155">
        <v>58923.327158263302</v>
      </c>
      <c r="J33" s="155">
        <v>564723.9870002158</v>
      </c>
      <c r="K33" s="155">
        <v>615328.34818480653</v>
      </c>
      <c r="L33" s="153">
        <f t="shared" si="12"/>
        <v>-50604.361184590729</v>
      </c>
      <c r="M33" s="153"/>
      <c r="N33" s="466">
        <v>0</v>
      </c>
      <c r="O33" s="466">
        <v>0</v>
      </c>
      <c r="P33" s="466">
        <f t="shared" si="10"/>
        <v>0</v>
      </c>
      <c r="Q33" s="443">
        <f t="shared" si="4"/>
        <v>18144.320298008341</v>
      </c>
      <c r="R33" s="156">
        <f t="shared" si="13"/>
        <v>26463.286271680914</v>
      </c>
      <c r="S33" s="156"/>
      <c r="T33" s="159">
        <f t="shared" ca="1" si="14"/>
        <v>584978.18206115463</v>
      </c>
      <c r="V33" s="158">
        <f t="shared" si="15"/>
        <v>8318.9659736725735</v>
      </c>
      <c r="W33" s="138" t="str">
        <f t="shared" si="16"/>
        <v>P.016</v>
      </c>
      <c r="X33" t="s">
        <v>449</v>
      </c>
    </row>
    <row r="34" spans="1:24" ht="13">
      <c r="A34" s="162" t="s">
        <v>267</v>
      </c>
      <c r="B34" s="135" t="s">
        <v>117</v>
      </c>
      <c r="C34" s="160" t="str">
        <f t="shared" ca="1" si="0"/>
        <v>Grady Customer Connection</v>
      </c>
      <c r="D34" s="152">
        <f t="shared" ca="1" si="0"/>
        <v>2015</v>
      </c>
      <c r="E34" s="441">
        <f t="shared" ca="1" si="0"/>
        <v>190606.92552631578</v>
      </c>
      <c r="F34" s="466">
        <f t="shared" ca="1" si="0"/>
        <v>0</v>
      </c>
      <c r="G34" s="154">
        <f t="shared" ref="G34:G39" ca="1" si="17">+E34+F34</f>
        <v>190606.92552631578</v>
      </c>
      <c r="H34" s="138"/>
      <c r="I34" s="155">
        <v>20206.74713159565</v>
      </c>
      <c r="J34" s="155">
        <v>192426.66908744062</v>
      </c>
      <c r="K34" s="155">
        <v>209669.83369210761</v>
      </c>
      <c r="L34" s="153">
        <f t="shared" ref="L34:L39" si="18">+J34-K34</f>
        <v>-17243.164604666992</v>
      </c>
      <c r="M34" s="153"/>
      <c r="N34" s="466">
        <v>0</v>
      </c>
      <c r="O34" s="466">
        <v>0</v>
      </c>
      <c r="P34" s="466">
        <f t="shared" ref="P34:P39" si="19">+N34-O34</f>
        <v>0</v>
      </c>
      <c r="Q34" s="443">
        <f t="shared" si="4"/>
        <v>6463.8070125962649</v>
      </c>
      <c r="R34" s="156">
        <f t="shared" ref="R34:R39" si="20">I34+L34+P34+Q34</f>
        <v>9427.3895395249237</v>
      </c>
      <c r="S34" s="156"/>
      <c r="T34" s="159">
        <f t="shared" ref="T34:T39" ca="1" si="21">+G34+R34</f>
        <v>200034.3150658407</v>
      </c>
      <c r="V34" s="158">
        <f t="shared" ref="V34:V39" si="22">+I34+L34+P34</f>
        <v>2963.5825269286579</v>
      </c>
      <c r="W34" s="138" t="str">
        <f t="shared" si="16"/>
        <v>P.017</v>
      </c>
      <c r="X34" t="s">
        <v>265</v>
      </c>
    </row>
    <row r="35" spans="1:24" ht="13">
      <c r="A35" s="162" t="s">
        <v>268</v>
      </c>
      <c r="B35" s="135" t="s">
        <v>117</v>
      </c>
      <c r="C35" s="160" t="str">
        <f t="shared" ca="1" si="0"/>
        <v>Darlington-Red Rock 138 kV line</v>
      </c>
      <c r="D35" s="152">
        <f t="shared" ca="1" si="0"/>
        <v>2014</v>
      </c>
      <c r="E35" s="441">
        <f t="shared" ca="1" si="0"/>
        <v>188098.76315789475</v>
      </c>
      <c r="F35" s="466">
        <f t="shared" ca="1" si="0"/>
        <v>0</v>
      </c>
      <c r="G35" s="163">
        <f t="shared" ca="1" si="17"/>
        <v>188098.76315789475</v>
      </c>
      <c r="H35" s="138"/>
      <c r="I35" s="155">
        <v>22608.735187981918</v>
      </c>
      <c r="J35" s="155">
        <v>192856.70212709974</v>
      </c>
      <c r="K35" s="155">
        <v>210138.40156960109</v>
      </c>
      <c r="L35" s="164">
        <f t="shared" si="18"/>
        <v>-17281.699442501354</v>
      </c>
      <c r="M35" s="164"/>
      <c r="N35" s="468">
        <v>0</v>
      </c>
      <c r="O35" s="468">
        <v>0</v>
      </c>
      <c r="P35" s="468">
        <f t="shared" si="19"/>
        <v>0</v>
      </c>
      <c r="Q35" s="443">
        <f t="shared" si="4"/>
        <v>11618.68471524334</v>
      </c>
      <c r="R35" s="165">
        <f t="shared" si="20"/>
        <v>16945.720460723904</v>
      </c>
      <c r="S35" s="165"/>
      <c r="T35" s="166">
        <f t="shared" ca="1" si="21"/>
        <v>205044.48361861866</v>
      </c>
      <c r="V35" s="158">
        <f t="shared" si="22"/>
        <v>5327.0357454805635</v>
      </c>
      <c r="W35" s="138" t="str">
        <f t="shared" si="16"/>
        <v>P.018</v>
      </c>
      <c r="X35" t="s">
        <v>266</v>
      </c>
    </row>
    <row r="36" spans="1:24" ht="13">
      <c r="A36" s="162" t="s">
        <v>275</v>
      </c>
      <c r="B36" s="135" t="s">
        <v>117</v>
      </c>
      <c r="C36" s="160" t="str">
        <f t="shared" ca="1" si="0"/>
        <v>Valliant-NW Texarkana 345 kV</v>
      </c>
      <c r="D36" s="152">
        <f t="shared" ca="1" si="0"/>
        <v>2017</v>
      </c>
      <c r="E36" s="441">
        <f t="shared" ca="1" si="0"/>
        <v>156935.19299331732</v>
      </c>
      <c r="F36" s="466">
        <f t="shared" ca="1" si="0"/>
        <v>0</v>
      </c>
      <c r="G36" s="163">
        <f t="shared" ca="1" si="17"/>
        <v>156935.19299331732</v>
      </c>
      <c r="H36" s="138"/>
      <c r="I36" s="155">
        <v>16779.389662222733</v>
      </c>
      <c r="J36" s="155">
        <v>156188.99637524891</v>
      </c>
      <c r="K36" s="155">
        <v>170184.93876051332</v>
      </c>
      <c r="L36" s="164">
        <f t="shared" si="18"/>
        <v>-13995.94238526441</v>
      </c>
      <c r="M36" s="164"/>
      <c r="N36" s="468">
        <v>0</v>
      </c>
      <c r="O36" s="468">
        <v>0</v>
      </c>
      <c r="P36" s="468">
        <f t="shared" si="19"/>
        <v>0</v>
      </c>
      <c r="Q36" s="443">
        <f t="shared" si="4"/>
        <v>6070.9178382965592</v>
      </c>
      <c r="R36" s="165">
        <f t="shared" si="20"/>
        <v>8854.3651152548809</v>
      </c>
      <c r="S36" s="165"/>
      <c r="T36" s="166">
        <f t="shared" ca="1" si="21"/>
        <v>165789.55810857221</v>
      </c>
      <c r="V36" s="158">
        <f t="shared" si="22"/>
        <v>2783.4472769583226</v>
      </c>
      <c r="W36" s="138" t="str">
        <f t="shared" si="16"/>
        <v>P.019</v>
      </c>
      <c r="X36" t="s">
        <v>281</v>
      </c>
    </row>
    <row r="37" spans="1:24" ht="13">
      <c r="A37" s="162" t="s">
        <v>276</v>
      </c>
      <c r="B37" s="135" t="s">
        <v>117</v>
      </c>
      <c r="C37" s="160" t="str">
        <f t="shared" ca="1" si="0"/>
        <v>Sayre 138 kV Capacitor Bank Addition</v>
      </c>
      <c r="D37" s="152">
        <f t="shared" ca="1" si="0"/>
        <v>2018</v>
      </c>
      <c r="E37" s="441">
        <f t="shared" ca="1" si="0"/>
        <v>240023.2072834204</v>
      </c>
      <c r="F37" s="466">
        <f t="shared" ca="1" si="0"/>
        <v>0</v>
      </c>
      <c r="G37" s="154">
        <f t="shared" ca="1" si="17"/>
        <v>240023.2072834204</v>
      </c>
      <c r="H37" s="138"/>
      <c r="I37" s="155">
        <v>24671.220612151723</v>
      </c>
      <c r="J37" s="155">
        <v>237212.81463553352</v>
      </c>
      <c r="K37" s="155">
        <v>258469.22170475422</v>
      </c>
      <c r="L37" s="164">
        <f t="shared" si="18"/>
        <v>-21256.407069220702</v>
      </c>
      <c r="M37" s="164"/>
      <c r="N37" s="468">
        <v>0</v>
      </c>
      <c r="O37" s="468">
        <v>0</v>
      </c>
      <c r="P37" s="468">
        <f t="shared" si="19"/>
        <v>0</v>
      </c>
      <c r="Q37" s="443">
        <f t="shared" si="4"/>
        <v>7447.9774141405514</v>
      </c>
      <c r="R37" s="165">
        <f t="shared" si="20"/>
        <v>10862.790957071571</v>
      </c>
      <c r="S37" s="165"/>
      <c r="T37" s="166">
        <f t="shared" ca="1" si="21"/>
        <v>250885.99824049196</v>
      </c>
      <c r="V37" s="158">
        <f t="shared" si="22"/>
        <v>3414.8135429310205</v>
      </c>
      <c r="W37" s="138" t="str">
        <f t="shared" si="16"/>
        <v>P.020</v>
      </c>
      <c r="X37" t="s">
        <v>282</v>
      </c>
    </row>
    <row r="38" spans="1:24" ht="13">
      <c r="A38" s="162" t="s">
        <v>277</v>
      </c>
      <c r="B38" s="135" t="s">
        <v>117</v>
      </c>
      <c r="C38" s="160" t="str">
        <f t="shared" ref="C38:F50" ca="1" si="23">INDIRECT("'"&amp; $A38 &amp; "'!" &amp;C$63)</f>
        <v>Darlington-Roman Nose 138 kV</v>
      </c>
      <c r="D38" s="152">
        <f t="shared" ca="1" si="23"/>
        <v>2017</v>
      </c>
      <c r="E38" s="441">
        <f t="shared" ca="1" si="23"/>
        <v>39460.803706818144</v>
      </c>
      <c r="F38" s="466">
        <f t="shared" ca="1" si="23"/>
        <v>0</v>
      </c>
      <c r="G38" s="154">
        <f t="shared" ca="1" si="17"/>
        <v>39460.803706818144</v>
      </c>
      <c r="H38" s="138"/>
      <c r="I38" s="155">
        <v>3695.7122318608817</v>
      </c>
      <c r="J38" s="155">
        <v>38869.681930319995</v>
      </c>
      <c r="K38" s="155">
        <v>42352.755907716528</v>
      </c>
      <c r="L38" s="164">
        <f t="shared" si="18"/>
        <v>-3483.0739773965324</v>
      </c>
      <c r="M38" s="164"/>
      <c r="N38" s="468">
        <v>0</v>
      </c>
      <c r="O38" s="468">
        <v>0</v>
      </c>
      <c r="P38" s="468">
        <f t="shared" si="19"/>
        <v>0</v>
      </c>
      <c r="Q38" s="443">
        <f t="shared" si="4"/>
        <v>463.78078823987374</v>
      </c>
      <c r="R38" s="165">
        <f t="shared" si="20"/>
        <v>676.4190427042231</v>
      </c>
      <c r="S38" s="165"/>
      <c r="T38" s="166">
        <f t="shared" ca="1" si="21"/>
        <v>40137.222749522363</v>
      </c>
      <c r="V38" s="158">
        <f t="shared" si="22"/>
        <v>212.6382544643493</v>
      </c>
      <c r="W38" s="138" t="str">
        <f t="shared" si="16"/>
        <v>P.021</v>
      </c>
      <c r="X38" t="s">
        <v>279</v>
      </c>
    </row>
    <row r="39" spans="1:24" ht="13">
      <c r="A39" s="162" t="s">
        <v>278</v>
      </c>
      <c r="B39" s="135" t="s">
        <v>117</v>
      </c>
      <c r="C39" s="160" t="str">
        <f t="shared" ca="1" si="23"/>
        <v>Northeastern Station 138 kV Terminal Upgrades</v>
      </c>
      <c r="D39" s="152">
        <f t="shared" ca="1" si="23"/>
        <v>2018</v>
      </c>
      <c r="E39" s="441">
        <f t="shared" ca="1" si="23"/>
        <v>29383.42293773211</v>
      </c>
      <c r="F39" s="466">
        <f t="shared" ca="1" si="23"/>
        <v>0</v>
      </c>
      <c r="G39" s="154">
        <f t="shared" ca="1" si="17"/>
        <v>29383.42293773211</v>
      </c>
      <c r="H39" s="138"/>
      <c r="I39" s="155">
        <v>3174.8874432295452</v>
      </c>
      <c r="J39" s="155">
        <v>29221.837506612781</v>
      </c>
      <c r="K39" s="155">
        <v>31840.377631881955</v>
      </c>
      <c r="L39" s="164">
        <f t="shared" si="18"/>
        <v>-2618.5401252691736</v>
      </c>
      <c r="M39" s="164"/>
      <c r="N39" s="468">
        <v>0</v>
      </c>
      <c r="O39" s="468">
        <v>0</v>
      </c>
      <c r="P39" s="468">
        <f t="shared" si="19"/>
        <v>0</v>
      </c>
      <c r="Q39" s="443">
        <f t="shared" si="4"/>
        <v>1213.4373389622642</v>
      </c>
      <c r="R39" s="165">
        <f t="shared" si="20"/>
        <v>1769.7846569226358</v>
      </c>
      <c r="S39" s="165"/>
      <c r="T39" s="166">
        <f t="shared" ca="1" si="21"/>
        <v>31153.207594654745</v>
      </c>
      <c r="V39" s="158">
        <f t="shared" si="22"/>
        <v>556.34731796037158</v>
      </c>
      <c r="W39" s="138" t="str">
        <f t="shared" si="16"/>
        <v>P.022</v>
      </c>
      <c r="X39" t="s">
        <v>280</v>
      </c>
    </row>
    <row r="40" spans="1:24" ht="13">
      <c r="A40" s="162" t="s">
        <v>309</v>
      </c>
      <c r="B40" s="135" t="s">
        <v>117</v>
      </c>
      <c r="C40" s="160" t="str">
        <f t="shared" ca="1" si="23"/>
        <v>Elk City 138KV Move Load</v>
      </c>
      <c r="D40" s="152">
        <f t="shared" ca="1" si="23"/>
        <v>2018</v>
      </c>
      <c r="E40" s="441">
        <f t="shared" ca="1" si="23"/>
        <v>136882.71772391448</v>
      </c>
      <c r="F40" s="466">
        <f t="shared" ca="1" si="23"/>
        <v>0</v>
      </c>
      <c r="G40" s="154">
        <f t="shared" ref="G40:G45" ca="1" si="24">+E40+F40</f>
        <v>136882.71772391448</v>
      </c>
      <c r="H40" s="138"/>
      <c r="I40" s="155">
        <v>17715.530349589681</v>
      </c>
      <c r="J40" s="155">
        <v>139246.98206094198</v>
      </c>
      <c r="K40" s="155">
        <v>151724.7672025061</v>
      </c>
      <c r="L40" s="164">
        <f t="shared" ref="L40:L45" si="25">+J40-K40</f>
        <v>-12477.78514156412</v>
      </c>
      <c r="M40" s="164"/>
      <c r="N40" s="468">
        <v>0</v>
      </c>
      <c r="O40" s="468">
        <v>0</v>
      </c>
      <c r="P40" s="468">
        <f t="shared" ref="P40:P45" si="26">+N40-O40</f>
        <v>0</v>
      </c>
      <c r="Q40" s="443">
        <f t="shared" si="4"/>
        <v>11423.935017228932</v>
      </c>
      <c r="R40" s="165">
        <f t="shared" ref="R40:R45" si="27">I40+L40+P40+Q40</f>
        <v>16661.680225254495</v>
      </c>
      <c r="S40" s="165"/>
      <c r="T40" s="166">
        <f t="shared" ref="T40:T48" ca="1" si="28">+G40+R40</f>
        <v>153544.39794916898</v>
      </c>
      <c r="V40" s="158">
        <f t="shared" ref="V40:V48" si="29">+I40+L40+P40</f>
        <v>5237.7452080255607</v>
      </c>
      <c r="W40" s="138" t="str">
        <f>A40</f>
        <v>P.023</v>
      </c>
      <c r="X40" t="s">
        <v>450</v>
      </c>
    </row>
    <row r="41" spans="1:24" ht="13">
      <c r="A41" s="162" t="s">
        <v>310</v>
      </c>
      <c r="B41" s="135" t="s">
        <v>117</v>
      </c>
      <c r="C41" s="160" t="str">
        <f t="shared" ca="1" si="23"/>
        <v>Duncan-Comanche Tap 69 KV Rebuild</v>
      </c>
      <c r="D41" s="152">
        <f t="shared" ca="1" si="23"/>
        <v>2018</v>
      </c>
      <c r="E41" s="441">
        <f t="shared" ca="1" si="23"/>
        <v>162565.93535340443</v>
      </c>
      <c r="F41" s="466">
        <f t="shared" ca="1" si="23"/>
        <v>0</v>
      </c>
      <c r="G41" s="154">
        <f t="shared" ca="1" si="24"/>
        <v>162565.93535340443</v>
      </c>
      <c r="H41" s="138"/>
      <c r="I41" s="155">
        <v>16871.902432821866</v>
      </c>
      <c r="J41" s="155">
        <v>160015.31969863496</v>
      </c>
      <c r="K41" s="155">
        <v>174354.13515450186</v>
      </c>
      <c r="L41" s="164">
        <f t="shared" si="25"/>
        <v>-14338.81545586689</v>
      </c>
      <c r="M41" s="164"/>
      <c r="N41" s="468">
        <v>0</v>
      </c>
      <c r="O41" s="468">
        <v>0</v>
      </c>
      <c r="P41" s="468">
        <f t="shared" si="26"/>
        <v>0</v>
      </c>
      <c r="Q41" s="443">
        <f t="shared" si="4"/>
        <v>5524.8622963527132</v>
      </c>
      <c r="R41" s="165">
        <f t="shared" si="27"/>
        <v>8057.9492733076886</v>
      </c>
      <c r="S41" s="165"/>
      <c r="T41" s="166">
        <f t="shared" ca="1" si="28"/>
        <v>170623.88462671213</v>
      </c>
      <c r="V41" s="158">
        <f t="shared" si="29"/>
        <v>2533.0869769549754</v>
      </c>
      <c r="W41" s="138" t="str">
        <f>A41</f>
        <v>P.024</v>
      </c>
      <c r="X41" t="s">
        <v>451</v>
      </c>
    </row>
    <row r="42" spans="1:24" ht="13">
      <c r="A42" s="162" t="s">
        <v>322</v>
      </c>
      <c r="B42" s="135" t="s">
        <v>117</v>
      </c>
      <c r="C42" s="160" t="str">
        <f t="shared" ca="1" si="23"/>
        <v>Fort Towson-Valliant Line Rebuild</v>
      </c>
      <c r="D42" s="152">
        <f t="shared" ca="1" si="23"/>
        <v>2018</v>
      </c>
      <c r="E42" s="441">
        <f t="shared" ca="1" si="23"/>
        <v>33249.521779538532</v>
      </c>
      <c r="F42" s="466">
        <f t="shared" ca="1" si="23"/>
        <v>0</v>
      </c>
      <c r="G42" s="154">
        <f t="shared" ca="1" si="24"/>
        <v>33249.521779538532</v>
      </c>
      <c r="H42" s="138"/>
      <c r="I42" s="155">
        <v>5273.5871259814085</v>
      </c>
      <c r="J42" s="155">
        <v>35325.720392380754</v>
      </c>
      <c r="K42" s="155">
        <v>38491.223461123627</v>
      </c>
      <c r="L42" s="164">
        <f t="shared" si="25"/>
        <v>-3165.5030687428734</v>
      </c>
      <c r="M42" s="164"/>
      <c r="N42" s="468">
        <v>0</v>
      </c>
      <c r="O42" s="468">
        <v>0</v>
      </c>
      <c r="P42" s="468">
        <f t="shared" si="26"/>
        <v>0</v>
      </c>
      <c r="Q42" s="443">
        <f t="shared" si="4"/>
        <v>4597.8974395029063</v>
      </c>
      <c r="R42" s="165">
        <f t="shared" si="27"/>
        <v>6705.9814967414413</v>
      </c>
      <c r="S42" s="165"/>
      <c r="T42" s="166">
        <f t="shared" ca="1" si="28"/>
        <v>39955.503276279975</v>
      </c>
      <c r="V42" s="158">
        <f t="shared" si="29"/>
        <v>2108.084057238535</v>
      </c>
      <c r="W42" s="138" t="str">
        <f>A42</f>
        <v>P.025</v>
      </c>
      <c r="X42" t="s">
        <v>320</v>
      </c>
    </row>
    <row r="43" spans="1:24" ht="13">
      <c r="A43" s="162" t="s">
        <v>330</v>
      </c>
      <c r="B43" s="135" t="s">
        <v>117</v>
      </c>
      <c r="C43" s="160" t="str">
        <f t="shared" ca="1" si="23"/>
        <v>Tulsa Southeast - E. 61st St 138 kV Rebuild</v>
      </c>
      <c r="D43" s="152">
        <f t="shared" ca="1" si="23"/>
        <v>2019</v>
      </c>
      <c r="E43" s="441">
        <f t="shared" ca="1" si="23"/>
        <v>1014990.3846828633</v>
      </c>
      <c r="F43" s="466">
        <f t="shared" ca="1" si="23"/>
        <v>0</v>
      </c>
      <c r="G43" s="154">
        <f t="shared" ca="1" si="24"/>
        <v>1014990.3846828633</v>
      </c>
      <c r="H43" s="138"/>
      <c r="I43" s="155">
        <v>111000.3678094151</v>
      </c>
      <c r="J43" s="155">
        <v>999106.4230405502</v>
      </c>
      <c r="K43" s="155">
        <v>1088635.3671924642</v>
      </c>
      <c r="L43" s="164">
        <f t="shared" si="25"/>
        <v>-89528.94415191398</v>
      </c>
      <c r="M43" s="164"/>
      <c r="N43" s="468">
        <v>0</v>
      </c>
      <c r="O43" s="468">
        <v>0</v>
      </c>
      <c r="P43" s="468">
        <f t="shared" si="26"/>
        <v>0</v>
      </c>
      <c r="Q43" s="443">
        <f t="shared" si="4"/>
        <v>46830.866880435642</v>
      </c>
      <c r="R43" s="165">
        <f t="shared" si="27"/>
        <v>68302.290537936758</v>
      </c>
      <c r="S43" s="165"/>
      <c r="T43" s="166">
        <f t="shared" ca="1" si="28"/>
        <v>1083292.6752208001</v>
      </c>
      <c r="V43" s="158">
        <f t="shared" si="29"/>
        <v>21471.423657501116</v>
      </c>
      <c r="W43" s="138" t="str">
        <f>A43</f>
        <v>P.026</v>
      </c>
      <c r="X43" t="s">
        <v>452</v>
      </c>
    </row>
    <row r="44" spans="1:24" ht="13">
      <c r="A44" s="162" t="s">
        <v>331</v>
      </c>
      <c r="B44" s="135" t="s">
        <v>117</v>
      </c>
      <c r="C44" s="160" t="str">
        <f t="shared" ca="1" si="23"/>
        <v>Broken Arrow North-Lynn Lane East 138 kV</v>
      </c>
      <c r="D44" s="152">
        <f t="shared" ca="1" si="23"/>
        <v>2019</v>
      </c>
      <c r="E44" s="441">
        <f t="shared" ca="1" si="23"/>
        <v>632920.45507432555</v>
      </c>
      <c r="F44" s="466">
        <f t="shared" ca="1" si="23"/>
        <v>0</v>
      </c>
      <c r="G44" s="154">
        <f t="shared" ca="1" si="24"/>
        <v>632920.45507432555</v>
      </c>
      <c r="H44" s="138"/>
      <c r="I44" s="155">
        <v>54570.92350045417</v>
      </c>
      <c r="J44" s="155">
        <v>606929.23798117461</v>
      </c>
      <c r="K44" s="155">
        <v>661315.57020593982</v>
      </c>
      <c r="L44" s="164">
        <f t="shared" si="25"/>
        <v>-54386.33222476521</v>
      </c>
      <c r="M44" s="164"/>
      <c r="N44" s="468">
        <v>0</v>
      </c>
      <c r="O44" s="468">
        <v>0</v>
      </c>
      <c r="P44" s="468">
        <f t="shared" si="26"/>
        <v>0</v>
      </c>
      <c r="Q44" s="443">
        <f t="shared" si="4"/>
        <v>402.60811751341123</v>
      </c>
      <c r="R44" s="165">
        <f t="shared" si="27"/>
        <v>587.19939320237052</v>
      </c>
      <c r="S44" s="165"/>
      <c r="T44" s="166">
        <f t="shared" ca="1" si="28"/>
        <v>633507.65446752787</v>
      </c>
      <c r="V44" s="158">
        <f t="shared" si="29"/>
        <v>184.59127568895929</v>
      </c>
      <c r="W44" s="138" t="str">
        <f>A44</f>
        <v>P.027</v>
      </c>
      <c r="X44" t="s">
        <v>333</v>
      </c>
    </row>
    <row r="45" spans="1:24" ht="13">
      <c r="A45" s="162" t="s">
        <v>338</v>
      </c>
      <c r="B45" s="135" t="s">
        <v>117</v>
      </c>
      <c r="C45" s="160" t="str">
        <f t="shared" ca="1" si="23"/>
        <v>Keystone Dam - Wekiwa 138 kV</v>
      </c>
      <c r="D45" s="152">
        <f t="shared" ca="1" si="23"/>
        <v>2020</v>
      </c>
      <c r="E45" s="441">
        <f t="shared" ca="1" si="23"/>
        <v>302141.48498551024</v>
      </c>
      <c r="F45" s="466">
        <f t="shared" ca="1" si="23"/>
        <v>0</v>
      </c>
      <c r="G45" s="154">
        <f t="shared" ca="1" si="24"/>
        <v>302141.48498551024</v>
      </c>
      <c r="H45" s="138"/>
      <c r="I45" s="155">
        <v>35711.270320496755</v>
      </c>
      <c r="J45" s="155">
        <v>276254.24421086669</v>
      </c>
      <c r="K45" s="155">
        <v>301009.11539507488</v>
      </c>
      <c r="L45" s="164">
        <f t="shared" si="25"/>
        <v>-24754.871184208198</v>
      </c>
      <c r="M45" s="164"/>
      <c r="N45" s="468">
        <v>0</v>
      </c>
      <c r="O45" s="468">
        <v>0</v>
      </c>
      <c r="P45" s="468">
        <f t="shared" si="26"/>
        <v>0</v>
      </c>
      <c r="Q45" s="443">
        <f t="shared" si="4"/>
        <v>23896.76984745243</v>
      </c>
      <c r="R45" s="165">
        <f t="shared" si="27"/>
        <v>34853.168983740987</v>
      </c>
      <c r="S45" s="165"/>
      <c r="T45" s="166">
        <f t="shared" ca="1" si="28"/>
        <v>336994.6539692512</v>
      </c>
      <c r="V45" s="158">
        <f t="shared" si="29"/>
        <v>10956.399136288557</v>
      </c>
      <c r="W45" s="445" t="s">
        <v>338</v>
      </c>
      <c r="X45" t="s">
        <v>336</v>
      </c>
    </row>
    <row r="46" spans="1:24" ht="13">
      <c r="A46" s="162" t="s">
        <v>377</v>
      </c>
      <c r="B46" s="135" t="s">
        <v>117</v>
      </c>
      <c r="C46" s="160" t="str">
        <f t="shared" ca="1" si="23"/>
        <v>Tulsa SE - S Hudson 138 kV</v>
      </c>
      <c r="D46" s="152">
        <f t="shared" ca="1" si="23"/>
        <v>2022</v>
      </c>
      <c r="E46" s="441">
        <f t="shared" ca="1" si="23"/>
        <v>5025.8077138666322</v>
      </c>
      <c r="F46" s="466">
        <f t="shared" ca="1" si="23"/>
        <v>0</v>
      </c>
      <c r="G46" s="154">
        <f t="shared" ref="G46:G48" ca="1" si="30">+E46+F46</f>
        <v>5025.8077138666322</v>
      </c>
      <c r="H46" s="138"/>
      <c r="I46" s="155">
        <v>2189.7520395725578</v>
      </c>
      <c r="J46" s="155">
        <v>-116412.22360193382</v>
      </c>
      <c r="K46" s="155">
        <v>-126843.80849129913</v>
      </c>
      <c r="L46" s="164">
        <f t="shared" ref="L46:L48" si="31">+J46-K46</f>
        <v>10431.584889365316</v>
      </c>
      <c r="M46" s="164"/>
      <c r="N46" s="468">
        <v>0</v>
      </c>
      <c r="O46" s="468">
        <v>0</v>
      </c>
      <c r="P46" s="468">
        <f t="shared" ref="P46:P48" si="32">+N46-O46</f>
        <v>0</v>
      </c>
      <c r="Q46" s="443">
        <f t="shared" si="4"/>
        <v>27528.130365297144</v>
      </c>
      <c r="R46" s="165">
        <f t="shared" ref="R46:R48" si="33">I46+L46+P46+Q46</f>
        <v>40149.467294235015</v>
      </c>
      <c r="S46" s="165"/>
      <c r="T46" s="166">
        <f ca="1">+G46+R46</f>
        <v>45175.275008101649</v>
      </c>
      <c r="V46" s="158">
        <f t="shared" si="29"/>
        <v>12621.336928937875</v>
      </c>
      <c r="W46" s="445" t="s">
        <v>377</v>
      </c>
      <c r="X46" t="s">
        <v>374</v>
      </c>
    </row>
    <row r="47" spans="1:24" ht="13">
      <c r="A47" s="162" t="s">
        <v>378</v>
      </c>
      <c r="B47" s="135" t="s">
        <v>117</v>
      </c>
      <c r="C47" s="160" t="str">
        <f t="shared" ca="1" si="23"/>
        <v>Tulsa SE - E 21st St Tap 138 kV</v>
      </c>
      <c r="D47" s="152">
        <f t="shared" ca="1" si="23"/>
        <v>2021</v>
      </c>
      <c r="E47" s="441">
        <f t="shared" ca="1" si="23"/>
        <v>236660.44093925093</v>
      </c>
      <c r="F47" s="466">
        <f t="shared" ca="1" si="23"/>
        <v>0</v>
      </c>
      <c r="G47" s="154">
        <f t="shared" ca="1" si="30"/>
        <v>236660.44093925093</v>
      </c>
      <c r="H47" s="138"/>
      <c r="I47" s="155">
        <v>955.50189607733046</v>
      </c>
      <c r="J47" s="155">
        <v>225044.3195541093</v>
      </c>
      <c r="K47" s="155">
        <v>245210.31974430883</v>
      </c>
      <c r="L47" s="164">
        <f t="shared" si="31"/>
        <v>-20166.000190199527</v>
      </c>
      <c r="M47" s="164"/>
      <c r="N47" s="468">
        <v>0</v>
      </c>
      <c r="O47" s="468">
        <v>0</v>
      </c>
      <c r="P47" s="468">
        <f t="shared" si="32"/>
        <v>0</v>
      </c>
      <c r="Q47" s="443">
        <f t="shared" si="4"/>
        <v>-41899.610508806611</v>
      </c>
      <c r="R47" s="165">
        <f t="shared" si="33"/>
        <v>-61110.108802928808</v>
      </c>
      <c r="S47" s="165"/>
      <c r="T47" s="166">
        <f t="shared" ca="1" si="28"/>
        <v>175550.3321363221</v>
      </c>
      <c r="V47" s="158">
        <f t="shared" si="29"/>
        <v>-19210.498294122197</v>
      </c>
      <c r="W47" s="445" t="s">
        <v>378</v>
      </c>
      <c r="X47" t="s">
        <v>371</v>
      </c>
    </row>
    <row r="48" spans="1:24" ht="13">
      <c r="A48" s="162" t="s">
        <v>379</v>
      </c>
      <c r="B48" s="135" t="s">
        <v>117</v>
      </c>
      <c r="C48" s="160" t="str">
        <f t="shared" ca="1" si="23"/>
        <v>Pryor Junction 138/115 kV</v>
      </c>
      <c r="D48" s="152">
        <f t="shared" ca="1" si="23"/>
        <v>2022</v>
      </c>
      <c r="E48" s="441">
        <f t="shared" ca="1" si="23"/>
        <v>9437.5887773133545</v>
      </c>
      <c r="F48" s="466">
        <f t="shared" ca="1" si="23"/>
        <v>0</v>
      </c>
      <c r="G48" s="154">
        <f t="shared" ca="1" si="30"/>
        <v>9437.5887773133545</v>
      </c>
      <c r="H48" s="138"/>
      <c r="I48" s="155">
        <v>14.260034761393399</v>
      </c>
      <c r="J48" s="155">
        <v>10326.89037707541</v>
      </c>
      <c r="K48" s="155">
        <v>11252.272869381333</v>
      </c>
      <c r="L48" s="164">
        <f t="shared" si="31"/>
        <v>-925.38249230592373</v>
      </c>
      <c r="M48" s="164"/>
      <c r="N48" s="468">
        <v>0</v>
      </c>
      <c r="O48" s="468">
        <v>0</v>
      </c>
      <c r="P48" s="468">
        <f t="shared" si="32"/>
        <v>0</v>
      </c>
      <c r="Q48" s="443">
        <f t="shared" si="4"/>
        <v>-1987.2298736063005</v>
      </c>
      <c r="R48" s="165">
        <f t="shared" si="33"/>
        <v>-2898.3523311508307</v>
      </c>
      <c r="S48" s="165"/>
      <c r="T48" s="166">
        <f t="shared" ca="1" si="28"/>
        <v>6539.2364461625239</v>
      </c>
      <c r="V48" s="158">
        <f t="shared" si="29"/>
        <v>-911.12245754453033</v>
      </c>
      <c r="W48" s="445" t="s">
        <v>379</v>
      </c>
      <c r="X48" t="s">
        <v>368</v>
      </c>
    </row>
    <row r="49" spans="1:24" ht="13">
      <c r="A49" s="162" t="s">
        <v>383</v>
      </c>
      <c r="B49" s="135" t="s">
        <v>117</v>
      </c>
      <c r="C49" s="160" t="str">
        <f t="shared" ca="1" si="23"/>
        <v>Catoosa-Blue Circle rebuild</v>
      </c>
      <c r="D49" s="152">
        <f t="shared" ca="1" si="23"/>
        <v>2024</v>
      </c>
      <c r="E49" s="441">
        <f t="shared" ca="1" si="23"/>
        <v>1153456.691984847</v>
      </c>
      <c r="F49" s="466">
        <f t="shared" ca="1" si="23"/>
        <v>0</v>
      </c>
      <c r="G49" s="154">
        <f t="shared" ref="G49:G50" ca="1" si="34">+E49+F49</f>
        <v>1153456.691984847</v>
      </c>
      <c r="H49" s="138"/>
      <c r="I49" s="155">
        <v>82320.437185211224</v>
      </c>
      <c r="J49" s="155">
        <v>222415.29712588375</v>
      </c>
      <c r="K49" s="155">
        <v>242345.71320139567</v>
      </c>
      <c r="L49" s="164">
        <f t="shared" ref="L49:L54" si="35">+J49-K49</f>
        <v>-19930.416075511923</v>
      </c>
      <c r="M49" s="164"/>
      <c r="N49" s="468">
        <v>0</v>
      </c>
      <c r="O49" s="468">
        <v>0</v>
      </c>
      <c r="P49" s="468">
        <f t="shared" ref="P49:P50" si="36">+N49-O49</f>
        <v>0</v>
      </c>
      <c r="Q49" s="443">
        <f t="shared" si="4"/>
        <v>136077.55218574731</v>
      </c>
      <c r="R49" s="165">
        <f t="shared" ref="R49:R50" si="37">I49+L49+P49+Q49</f>
        <v>198467.57329544661</v>
      </c>
      <c r="S49" s="165"/>
      <c r="T49" s="166">
        <f t="shared" ref="T49:T50" ca="1" si="38">+G49+R49</f>
        <v>1351924.2652802935</v>
      </c>
      <c r="V49" s="158">
        <f t="shared" ref="V49:V50" si="39">+I49+L49+P49</f>
        <v>62390.021109699301</v>
      </c>
      <c r="W49" s="445" t="s">
        <v>383</v>
      </c>
      <c r="X49" t="s">
        <v>453</v>
      </c>
    </row>
    <row r="50" spans="1:24" ht="13">
      <c r="A50" s="162" t="s">
        <v>384</v>
      </c>
      <c r="B50" s="135" t="s">
        <v>117</v>
      </c>
      <c r="C50" s="160" t="str">
        <f t="shared" ca="1" si="23"/>
        <v>Chisholm Substation 345 kV Terminal Upgrades</v>
      </c>
      <c r="D50" s="152">
        <f t="shared" ca="1" si="23"/>
        <v>2024</v>
      </c>
      <c r="E50" s="441">
        <f t="shared" ca="1" si="23"/>
        <v>331382.28379814484</v>
      </c>
      <c r="F50" s="466">
        <f t="shared" ca="1" si="23"/>
        <v>0</v>
      </c>
      <c r="G50" s="154">
        <f t="shared" ca="1" si="34"/>
        <v>331382.28379814484</v>
      </c>
      <c r="H50" s="138"/>
      <c r="I50" s="469">
        <v>0</v>
      </c>
      <c r="J50" s="469">
        <v>25.762152486776909</v>
      </c>
      <c r="K50" s="469">
        <v>28.070673639310954</v>
      </c>
      <c r="L50" s="470">
        <f t="shared" si="35"/>
        <v>-2.3085211525340448</v>
      </c>
      <c r="M50" s="164"/>
      <c r="N50" s="468">
        <v>0</v>
      </c>
      <c r="O50" s="468">
        <v>0</v>
      </c>
      <c r="P50" s="468">
        <f t="shared" si="36"/>
        <v>0</v>
      </c>
      <c r="Q50" s="443">
        <f t="shared" si="4"/>
        <v>-5.0350665381809963</v>
      </c>
      <c r="R50" s="165">
        <f t="shared" si="37"/>
        <v>-7.343587690715041</v>
      </c>
      <c r="S50" s="165"/>
      <c r="T50" s="166">
        <f t="shared" ca="1" si="38"/>
        <v>331374.94021045411</v>
      </c>
      <c r="V50" s="158">
        <f t="shared" si="39"/>
        <v>-2.3085211525340448</v>
      </c>
      <c r="W50" s="445" t="s">
        <v>384</v>
      </c>
      <c r="X50" t="s">
        <v>454</v>
      </c>
    </row>
    <row r="51" spans="1:24" ht="13">
      <c r="A51" s="162" t="s">
        <v>423</v>
      </c>
      <c r="B51" s="135" t="s">
        <v>117</v>
      </c>
      <c r="C51" s="160" t="str">
        <f ca="1">INDIRECT("'"&amp; $A51 &amp; "'!" &amp;C$63)</f>
        <v>Sooner - Wekiwqa 345 kV Terminal Upgrades</v>
      </c>
      <c r="D51" s="152">
        <v>2025</v>
      </c>
      <c r="E51" s="441">
        <f t="shared" ref="E51:F54" ca="1" si="40">INDIRECT("'"&amp; $A51 &amp; "'!" &amp;E$63)</f>
        <v>205385.33321004748</v>
      </c>
      <c r="F51" s="466">
        <f t="shared" ca="1" si="40"/>
        <v>0</v>
      </c>
      <c r="G51" s="154">
        <f t="shared" ref="G51:G54" ca="1" si="41">+E51+F51</f>
        <v>205385.33321004748</v>
      </c>
      <c r="H51" s="138"/>
      <c r="I51" s="469">
        <v>0</v>
      </c>
      <c r="J51" s="469">
        <v>0</v>
      </c>
      <c r="K51" s="469">
        <v>0</v>
      </c>
      <c r="L51" s="470">
        <f t="shared" si="35"/>
        <v>0</v>
      </c>
      <c r="M51" s="164"/>
      <c r="N51" s="468"/>
      <c r="O51" s="468"/>
      <c r="P51" s="468"/>
      <c r="Q51" s="443">
        <f t="shared" ref="Q51" si="42">+V51/$V$56 * $Q$56</f>
        <v>0</v>
      </c>
      <c r="R51" s="165">
        <f t="shared" ref="R51" si="43">I51+L51+P51+Q51</f>
        <v>0</v>
      </c>
      <c r="S51" s="165"/>
      <c r="T51" s="166">
        <f t="shared" ref="T51" ca="1" si="44">+G51+R51</f>
        <v>205385.33321004748</v>
      </c>
      <c r="V51" s="158">
        <f t="shared" ref="V51" si="45">+I51+L51+P51</f>
        <v>0</v>
      </c>
      <c r="W51" s="445" t="s">
        <v>423</v>
      </c>
      <c r="X51" t="str">
        <f>P.034!D7</f>
        <v>Sooner - Wekiwqa 345 kV Terminal Upgrades</v>
      </c>
    </row>
    <row r="52" spans="1:24" ht="25">
      <c r="A52" s="162" t="s">
        <v>424</v>
      </c>
      <c r="B52" s="135" t="s">
        <v>117</v>
      </c>
      <c r="C52" s="160" t="str">
        <f ca="1">INDIRECT("'"&amp; $A52 &amp; "'!" &amp;C$63)</f>
        <v>Line - Osage - Webb City Tap - Shidler 138 kV Rebuild</v>
      </c>
      <c r="D52" s="152">
        <v>2024</v>
      </c>
      <c r="E52" s="441">
        <f t="shared" ca="1" si="40"/>
        <v>326279.45214894804</v>
      </c>
      <c r="F52" s="466">
        <f t="shared" ca="1" si="40"/>
        <v>0</v>
      </c>
      <c r="G52" s="154">
        <f t="shared" ca="1" si="41"/>
        <v>326279.45214894804</v>
      </c>
      <c r="H52" s="138"/>
      <c r="I52" s="469">
        <v>-10769.244792914746</v>
      </c>
      <c r="J52" s="469">
        <v>0</v>
      </c>
      <c r="K52" s="469">
        <v>0</v>
      </c>
      <c r="L52" s="470">
        <f t="shared" si="35"/>
        <v>0</v>
      </c>
      <c r="M52" s="164"/>
      <c r="N52" s="468"/>
      <c r="O52" s="468"/>
      <c r="P52" s="468"/>
      <c r="Q52" s="443">
        <f t="shared" ref="Q52:Q54" si="46">+V52/$V$56 * $Q$56</f>
        <v>-23488.571477356352</v>
      </c>
      <c r="R52" s="444">
        <f t="shared" ref="R52" si="47">I52+L52+P52+Q52</f>
        <v>-34257.816270271098</v>
      </c>
      <c r="S52" s="165"/>
      <c r="T52" s="166">
        <f t="shared" ref="T52" ca="1" si="48">+G52+R52</f>
        <v>292021.63587867696</v>
      </c>
      <c r="V52" s="471">
        <f t="shared" ref="V52" si="49">+I52+L52+P52</f>
        <v>-10769.244792914746</v>
      </c>
      <c r="W52" s="445" t="s">
        <v>424</v>
      </c>
      <c r="X52" t="str">
        <f>P.035!D7</f>
        <v>Line - Osage - Webb City Tap - Shidler 138 kV Rebuild</v>
      </c>
    </row>
    <row r="53" spans="1:24" ht="13">
      <c r="A53" s="162" t="s">
        <v>432</v>
      </c>
      <c r="B53" s="135"/>
      <c r="C53" s="160" t="str">
        <f ca="1">INDIRECT("'"&amp; $A53 &amp; "'!" &amp;C$63)</f>
        <v>Riverside Station 138 kV Breakers</v>
      </c>
      <c r="D53" s="152">
        <v>2026</v>
      </c>
      <c r="E53" s="441">
        <f t="shared" ca="1" si="40"/>
        <v>636671.74185337557</v>
      </c>
      <c r="F53" s="466">
        <f t="shared" ca="1" si="40"/>
        <v>0</v>
      </c>
      <c r="G53" s="154">
        <f t="shared" ca="1" si="41"/>
        <v>636671.74185337557</v>
      </c>
      <c r="H53" s="138"/>
      <c r="I53" s="469"/>
      <c r="J53" s="469"/>
      <c r="K53" s="469"/>
      <c r="L53" s="470">
        <f t="shared" si="35"/>
        <v>0</v>
      </c>
      <c r="M53" s="164"/>
      <c r="N53" s="468"/>
      <c r="O53" s="468"/>
      <c r="P53" s="468"/>
      <c r="Q53" s="443">
        <f t="shared" si="46"/>
        <v>0</v>
      </c>
      <c r="R53" s="444">
        <f t="shared" ref="R53:R54" si="50">I53+L53+P53+Q53</f>
        <v>0</v>
      </c>
      <c r="S53" s="165"/>
      <c r="T53" s="166">
        <f t="shared" ref="T53:T54" ca="1" si="51">+G53+R53</f>
        <v>636671.74185337557</v>
      </c>
      <c r="V53" s="471">
        <f t="shared" ref="V53:V54" si="52">+I53+L53+P53</f>
        <v>0</v>
      </c>
      <c r="W53" s="445" t="s">
        <v>432</v>
      </c>
      <c r="X53" t="str">
        <f>P.036!D7</f>
        <v>Riverside Station 138 kV Breakers</v>
      </c>
    </row>
    <row r="54" spans="1:24" ht="13">
      <c r="A54" s="162" t="s">
        <v>433</v>
      </c>
      <c r="B54" s="135"/>
      <c r="C54" s="160" t="str">
        <f ca="1">INDIRECT("'"&amp; $A54 &amp; "'!" &amp;C$63)</f>
        <v>Tulsa N-Pine &amp; Peoria 138 Rebu</v>
      </c>
      <c r="D54" s="152">
        <v>2026</v>
      </c>
      <c r="E54" s="441">
        <f t="shared" ca="1" si="40"/>
        <v>34268.611922405158</v>
      </c>
      <c r="F54" s="466">
        <f t="shared" ca="1" si="40"/>
        <v>0</v>
      </c>
      <c r="G54" s="154">
        <f t="shared" ca="1" si="41"/>
        <v>34268.611922405158</v>
      </c>
      <c r="H54" s="138"/>
      <c r="I54" s="469"/>
      <c r="J54" s="469"/>
      <c r="K54" s="469"/>
      <c r="L54" s="470">
        <f t="shared" si="35"/>
        <v>0</v>
      </c>
      <c r="M54" s="164"/>
      <c r="N54" s="468"/>
      <c r="O54" s="468"/>
      <c r="P54" s="468"/>
      <c r="Q54" s="443">
        <f t="shared" si="46"/>
        <v>0</v>
      </c>
      <c r="R54" s="444">
        <f t="shared" si="50"/>
        <v>0</v>
      </c>
      <c r="S54" s="165"/>
      <c r="T54" s="166">
        <f t="shared" ca="1" si="51"/>
        <v>34268.611922405158</v>
      </c>
      <c r="V54" s="471">
        <f t="shared" si="52"/>
        <v>0</v>
      </c>
      <c r="W54" s="445" t="s">
        <v>433</v>
      </c>
      <c r="X54" t="str">
        <f>P.037!D7</f>
        <v>Tulsa N-Pine &amp; Peoria 138 Rebu</v>
      </c>
    </row>
    <row r="55" spans="1:24" ht="13">
      <c r="A55" s="138"/>
      <c r="B55" s="138"/>
      <c r="C55" s="138"/>
      <c r="D55" s="135"/>
      <c r="E55" s="165"/>
      <c r="F55" s="444"/>
      <c r="G55" s="165"/>
      <c r="H55" s="156"/>
      <c r="I55" s="165"/>
      <c r="J55" s="165"/>
      <c r="K55" s="167"/>
      <c r="L55" s="165"/>
      <c r="M55" s="165"/>
      <c r="N55" s="444"/>
      <c r="O55" s="444"/>
      <c r="P55" s="444"/>
      <c r="Q55" s="444"/>
      <c r="R55" s="165"/>
      <c r="S55" s="156"/>
      <c r="T55" s="166"/>
      <c r="V55" s="150"/>
    </row>
    <row r="56" spans="1:24" ht="13">
      <c r="A56" s="138"/>
      <c r="B56" s="138"/>
      <c r="C56" s="168" t="s">
        <v>177</v>
      </c>
      <c r="D56" s="135"/>
      <c r="E56" s="156">
        <f ca="1">SUM(E18:E55)</f>
        <v>10760192.392574767</v>
      </c>
      <c r="F56" s="467">
        <f ca="1">SUM(F18:F55)</f>
        <v>0</v>
      </c>
      <c r="G56" s="156">
        <f ca="1">SUM(G18:G55)</f>
        <v>10760192.392574767</v>
      </c>
      <c r="H56" s="156"/>
      <c r="I56" s="156">
        <f>SUM(I18:I55)</f>
        <v>884380.86930556444</v>
      </c>
      <c r="J56" s="156">
        <f>SUM(J18:J55)</f>
        <v>8210155.6580343777</v>
      </c>
      <c r="K56" s="156">
        <v>8945859.633542547</v>
      </c>
      <c r="L56" s="156">
        <f>SUM(L18:L55)</f>
        <v>-735703.97550816927</v>
      </c>
      <c r="M56" s="156">
        <f>SUM(M18:M42)</f>
        <v>0</v>
      </c>
      <c r="N56" s="467">
        <f>SUM(N18:N55)</f>
        <v>0</v>
      </c>
      <c r="O56" s="467">
        <f>SUM(O18:O55)</f>
        <v>0</v>
      </c>
      <c r="P56" s="467">
        <f>SUM(P18:P55)</f>
        <v>0</v>
      </c>
      <c r="Q56" s="155">
        <v>324276.02066293592</v>
      </c>
      <c r="R56" s="156">
        <f>SUM(R18:R55)</f>
        <v>472952.91446033109</v>
      </c>
      <c r="S56" s="156">
        <f>SUM(S18:S42)</f>
        <v>0</v>
      </c>
      <c r="T56" s="159">
        <f ca="1">SUM(T18:T55)</f>
        <v>11233145.307035098</v>
      </c>
      <c r="V56" s="159">
        <f>SUM(V18:V55)</f>
        <v>148676.89379739523</v>
      </c>
      <c r="W56" s="169" t="s">
        <v>270</v>
      </c>
    </row>
    <row r="57" spans="1:24" ht="13.5" thickBot="1">
      <c r="A57" s="138"/>
      <c r="B57" s="138"/>
      <c r="C57" s="170"/>
      <c r="D57" s="138"/>
      <c r="E57" s="171"/>
      <c r="F57" s="172" t="str">
        <f ca="1">IF(F56='PSO.WS.F.BPU.ATRR.Projected'!O19,"","Error")</f>
        <v/>
      </c>
      <c r="G57" s="172"/>
      <c r="H57" s="138"/>
      <c r="I57" s="173"/>
      <c r="J57" s="174"/>
      <c r="K57" s="175"/>
      <c r="L57" s="176"/>
      <c r="M57" s="176"/>
      <c r="N57" s="176"/>
      <c r="O57" s="176"/>
      <c r="P57" s="176"/>
      <c r="Q57" s="446"/>
      <c r="R57" s="156"/>
      <c r="S57" s="156"/>
      <c r="T57" s="156"/>
      <c r="V57" s="177"/>
      <c r="W57" s="169"/>
    </row>
    <row r="58" spans="1:24" ht="12.5">
      <c r="A58" s="138"/>
      <c r="B58" s="138"/>
      <c r="C58" s="178" t="s">
        <v>217</v>
      </c>
      <c r="D58" s="138"/>
      <c r="E58" s="156"/>
      <c r="F58" s="156"/>
      <c r="G58" s="156"/>
      <c r="H58" s="138"/>
      <c r="I58" s="179"/>
      <c r="J58" s="179"/>
      <c r="K58" s="138"/>
      <c r="L58" s="138"/>
      <c r="M58" s="138"/>
      <c r="N58" s="176"/>
      <c r="O58" s="176"/>
      <c r="P58" s="176"/>
      <c r="Q58" s="176"/>
      <c r="R58" s="156"/>
      <c r="S58" s="156"/>
      <c r="T58" s="156"/>
    </row>
    <row r="59" spans="1:24" ht="12.5">
      <c r="A59" s="138"/>
      <c r="B59" s="138"/>
      <c r="C59" s="178"/>
      <c r="D59" s="138"/>
      <c r="E59" s="156"/>
      <c r="F59" s="156"/>
      <c r="G59" s="156"/>
      <c r="H59" s="138"/>
      <c r="I59" s="180"/>
      <c r="J59" s="181"/>
      <c r="K59" s="155"/>
      <c r="L59" s="138"/>
      <c r="M59" s="138"/>
      <c r="N59" s="176"/>
      <c r="O59" s="176"/>
      <c r="P59" s="176"/>
      <c r="Q59" s="176"/>
      <c r="R59" s="176"/>
      <c r="S59" s="138"/>
      <c r="T59" s="138"/>
    </row>
    <row r="60" spans="1:24" ht="12.5">
      <c r="E60" s="182"/>
      <c r="F60" s="182"/>
      <c r="G60" s="182"/>
      <c r="I60" s="182"/>
      <c r="J60" s="183"/>
      <c r="N60" s="184"/>
      <c r="O60" s="184"/>
      <c r="P60" s="184"/>
      <c r="Q60" s="185"/>
      <c r="R60" s="184"/>
    </row>
    <row r="61" spans="1:24" ht="12.5">
      <c r="E61" s="182"/>
      <c r="F61" s="182"/>
      <c r="G61" s="182"/>
    </row>
    <row r="62" spans="1:24" ht="12.5">
      <c r="A62" s="186" t="s">
        <v>188</v>
      </c>
      <c r="B62" s="187"/>
      <c r="C62" s="187"/>
      <c r="D62" s="187"/>
      <c r="E62" s="188"/>
      <c r="F62" s="188"/>
      <c r="G62" s="188"/>
      <c r="H62" s="187"/>
      <c r="I62" s="187"/>
      <c r="J62" s="187"/>
      <c r="K62" s="187"/>
      <c r="L62" s="187"/>
      <c r="M62" s="187"/>
      <c r="N62" s="187"/>
      <c r="O62" s="189"/>
      <c r="V62" t="s">
        <v>201</v>
      </c>
    </row>
    <row r="63" spans="1:24" ht="15.5">
      <c r="A63" s="190" t="s">
        <v>191</v>
      </c>
      <c r="C63" s="7" t="str">
        <f ca="1">RIGHT(CELL("address",P.001!D7),4)</f>
        <v>$D$7</v>
      </c>
      <c r="D63" s="7" t="str">
        <f ca="1">RIGHT(CELL("address",P.001!D11),4)</f>
        <v>D$11</v>
      </c>
      <c r="E63" s="7" t="str">
        <f ca="1">RIGHT(CELL("address",P.001!N5),4)</f>
        <v>$N$5</v>
      </c>
      <c r="F63" s="7" t="str">
        <f ca="1">RIGHT(CELL("address",P.001!N7),4)</f>
        <v>$N$7</v>
      </c>
      <c r="H63" s="133"/>
      <c r="I63" s="7" t="str">
        <f ca="1">RIGHT(CELL("address",P.001!M89),4)</f>
        <v>M$89</v>
      </c>
      <c r="J63" s="7"/>
      <c r="N63" s="7" t="str">
        <f ca="1">RIGHT(CELL("address",P.001!N87),4)</f>
        <v>N$87</v>
      </c>
      <c r="O63" s="191" t="str">
        <f ca="1">RIGHT(CELL("address",P.001!N88),4)</f>
        <v>N$88</v>
      </c>
      <c r="P63" s="26" t="s">
        <v>190</v>
      </c>
      <c r="V63" t="s">
        <v>202</v>
      </c>
    </row>
    <row r="64" spans="1:24" ht="12.5">
      <c r="A64" s="192" t="s">
        <v>192</v>
      </c>
      <c r="B64" s="193"/>
      <c r="C64" s="193"/>
      <c r="D64" s="193"/>
      <c r="E64" s="194"/>
      <c r="F64" s="194"/>
      <c r="G64" s="194"/>
      <c r="H64" s="193"/>
      <c r="I64" s="193"/>
      <c r="J64" s="193"/>
      <c r="K64" s="193"/>
      <c r="L64" s="193"/>
      <c r="M64" s="193"/>
      <c r="N64" s="193"/>
      <c r="O64" s="195"/>
      <c r="V64" t="s">
        <v>203</v>
      </c>
    </row>
    <row r="65" spans="1:22" ht="12.5">
      <c r="E65" s="182"/>
      <c r="F65" s="182"/>
      <c r="G65" s="182"/>
      <c r="V65" t="s">
        <v>204</v>
      </c>
    </row>
    <row r="66" spans="1:22" ht="12.5">
      <c r="A66" s="1" t="s">
        <v>244</v>
      </c>
      <c r="B66" s="1" t="s">
        <v>245</v>
      </c>
      <c r="E66" s="182"/>
      <c r="F66" s="182"/>
      <c r="G66" s="182"/>
      <c r="V66" s="196" t="s">
        <v>225</v>
      </c>
    </row>
    <row r="67" spans="1:22" ht="12.5">
      <c r="B67" s="1" t="s">
        <v>248</v>
      </c>
      <c r="E67" s="182"/>
      <c r="F67" s="182"/>
      <c r="G67" s="182"/>
    </row>
    <row r="68" spans="1:22" ht="12.5">
      <c r="B68" s="1" t="s">
        <v>249</v>
      </c>
      <c r="E68" s="182"/>
      <c r="F68" s="182"/>
      <c r="G68" s="182"/>
    </row>
    <row r="69" spans="1:22" ht="12.5">
      <c r="B69" s="1" t="s">
        <v>246</v>
      </c>
      <c r="E69" s="182"/>
      <c r="F69" s="182"/>
      <c r="G69" s="182"/>
    </row>
    <row r="70" spans="1:22" ht="12.5">
      <c r="B70" s="1" t="s">
        <v>247</v>
      </c>
      <c r="E70" s="182"/>
      <c r="F70" s="182"/>
      <c r="G70" s="182"/>
      <c r="K70" s="197"/>
    </row>
    <row r="71" spans="1:22" ht="12.5">
      <c r="B71" s="1" t="s">
        <v>250</v>
      </c>
      <c r="E71" s="182"/>
      <c r="F71" s="182"/>
      <c r="G71" s="182"/>
    </row>
    <row r="74" spans="1:22" ht="12.75" customHeight="1">
      <c r="E74" s="7" t="s">
        <v>326</v>
      </c>
      <c r="F74" s="7" t="s">
        <v>327</v>
      </c>
      <c r="G74" s="7" t="s">
        <v>328</v>
      </c>
      <c r="H74" s="7"/>
      <c r="I74" s="198"/>
      <c r="J74" s="198"/>
    </row>
    <row r="76" spans="1:22" ht="12.75" customHeight="1">
      <c r="E76" s="180">
        <v>108452.59046922832</v>
      </c>
      <c r="F76" s="180">
        <v>118612.83535736376</v>
      </c>
      <c r="G76" s="199">
        <f t="shared" ref="G76:G100" si="53">+E76-F76</f>
        <v>-10160.244888135436</v>
      </c>
      <c r="H76" s="199"/>
      <c r="I76" s="200"/>
      <c r="J76" s="201"/>
    </row>
    <row r="77" spans="1:22" ht="12.75" customHeight="1">
      <c r="E77" s="180">
        <v>563423.59576338867</v>
      </c>
      <c r="F77" s="180">
        <v>616009.3144662733</v>
      </c>
      <c r="G77" s="199">
        <f t="shared" si="53"/>
        <v>-52585.718702884624</v>
      </c>
      <c r="H77" s="199"/>
      <c r="I77" s="200"/>
      <c r="J77" s="201"/>
    </row>
    <row r="78" spans="1:22" ht="12.75" customHeight="1">
      <c r="E78" s="180">
        <v>1385898.5101974602</v>
      </c>
      <c r="F78" s="180">
        <v>1515588.4402280932</v>
      </c>
      <c r="G78" s="199">
        <f t="shared" si="53"/>
        <v>-129689.930030633</v>
      </c>
      <c r="H78" s="199"/>
      <c r="I78" s="200"/>
      <c r="J78" s="201"/>
    </row>
    <row r="79" spans="1:22" ht="12.75" customHeight="1">
      <c r="E79" s="180">
        <v>1732706.9557914322</v>
      </c>
      <c r="F79" s="180">
        <v>1895603.111111111</v>
      </c>
      <c r="G79" s="199">
        <f t="shared" si="53"/>
        <v>-162896.15531967883</v>
      </c>
      <c r="H79" s="199"/>
      <c r="I79" s="200"/>
      <c r="J79" s="201"/>
    </row>
    <row r="80" spans="1:22" ht="12.75" customHeight="1">
      <c r="E80" s="180">
        <v>44166.093531237391</v>
      </c>
      <c r="F80" s="180">
        <v>48199.620253747162</v>
      </c>
      <c r="G80" s="199">
        <f t="shared" si="53"/>
        <v>-4033.5267225097705</v>
      </c>
      <c r="H80" s="199"/>
      <c r="I80" s="200"/>
      <c r="J80" s="201"/>
    </row>
    <row r="81" spans="5:10" ht="12.75" customHeight="1">
      <c r="E81" s="180">
        <v>179869.75016192306</v>
      </c>
      <c r="F81" s="180">
        <v>196553.85018087178</v>
      </c>
      <c r="G81" s="199">
        <f t="shared" si="53"/>
        <v>-16684.100018948724</v>
      </c>
      <c r="H81" s="199"/>
      <c r="I81" s="200"/>
      <c r="J81" s="201"/>
    </row>
    <row r="82" spans="5:10" ht="12.75" customHeight="1">
      <c r="E82" s="180">
        <v>9943.4463018575989</v>
      </c>
      <c r="F82" s="180">
        <v>10864.165928547483</v>
      </c>
      <c r="G82" s="199">
        <f t="shared" si="53"/>
        <v>-920.71962668988454</v>
      </c>
      <c r="H82" s="199"/>
      <c r="I82" s="200"/>
      <c r="J82" s="201"/>
    </row>
    <row r="83" spans="5:10" ht="12.75" customHeight="1">
      <c r="E83" s="180">
        <v>6401.6194166931018</v>
      </c>
      <c r="F83" s="180">
        <v>6986.5540517513546</v>
      </c>
      <c r="G83" s="199">
        <f t="shared" si="53"/>
        <v>-584.93463505825275</v>
      </c>
      <c r="H83" s="199"/>
      <c r="I83" s="200"/>
      <c r="J83" s="201"/>
    </row>
    <row r="84" spans="5:10" ht="12.75" customHeight="1">
      <c r="E84" s="180">
        <v>8441.9635566451543</v>
      </c>
      <c r="F84" s="180">
        <v>9219.7957260985368</v>
      </c>
      <c r="G84" s="199">
        <f t="shared" si="53"/>
        <v>-777.83216945338245</v>
      </c>
      <c r="H84" s="199"/>
      <c r="I84" s="200"/>
      <c r="J84" s="201"/>
    </row>
    <row r="85" spans="5:10" ht="12.75" customHeight="1">
      <c r="E85" s="180">
        <v>11848.855149661711</v>
      </c>
      <c r="F85" s="180">
        <v>12963.911111111111</v>
      </c>
      <c r="G85" s="199">
        <f t="shared" si="53"/>
        <v>-1115.0559614493995</v>
      </c>
      <c r="H85" s="199"/>
      <c r="I85" s="200"/>
      <c r="J85" s="201"/>
    </row>
    <row r="86" spans="5:10" ht="12.75" customHeight="1">
      <c r="E86" s="180">
        <v>175500.68121965264</v>
      </c>
      <c r="F86" s="180">
        <v>192128.21377777777</v>
      </c>
      <c r="G86" s="199">
        <f t="shared" si="53"/>
        <v>-16627.532558125124</v>
      </c>
      <c r="H86" s="199"/>
      <c r="I86" s="200"/>
      <c r="J86" s="201"/>
    </row>
    <row r="87" spans="5:10" ht="12.75" customHeight="1">
      <c r="E87" s="180">
        <v>426952.93022607185</v>
      </c>
      <c r="F87" s="180">
        <v>467887.49199999997</v>
      </c>
      <c r="G87" s="199">
        <f t="shared" si="53"/>
        <v>-40934.561773928115</v>
      </c>
      <c r="H87" s="199"/>
      <c r="I87" s="200"/>
      <c r="J87" s="201"/>
    </row>
    <row r="88" spans="5:10" ht="12.75" customHeight="1">
      <c r="E88" s="180">
        <v>2821.8344922068077</v>
      </c>
      <c r="F88" s="180">
        <v>3091.0444444444443</v>
      </c>
      <c r="G88" s="199">
        <f t="shared" si="53"/>
        <v>-269.20995223763657</v>
      </c>
      <c r="H88" s="199"/>
      <c r="I88" s="200"/>
      <c r="J88" s="201"/>
    </row>
    <row r="89" spans="5:10" ht="12.75" customHeight="1">
      <c r="E89" s="180">
        <v>124772.2053766459</v>
      </c>
      <c r="F89" s="180">
        <v>136430.26666666666</v>
      </c>
      <c r="G89" s="199">
        <f t="shared" si="53"/>
        <v>-11658.061290020763</v>
      </c>
      <c r="H89" s="199"/>
      <c r="I89" s="200"/>
      <c r="J89" s="201"/>
    </row>
    <row r="90" spans="5:10" ht="12.75" customHeight="1">
      <c r="E90" s="180">
        <v>295431.5183187396</v>
      </c>
      <c r="F90" s="180">
        <v>323935.0793333333</v>
      </c>
      <c r="G90" s="199">
        <f t="shared" si="53"/>
        <v>-28503.561014593695</v>
      </c>
      <c r="H90" s="199"/>
      <c r="I90" s="200"/>
      <c r="J90" s="201"/>
    </row>
    <row r="91" spans="5:10" ht="12.75" customHeight="1">
      <c r="E91" s="180">
        <v>674633.13832799566</v>
      </c>
      <c r="F91" s="180">
        <v>740035.4</v>
      </c>
      <c r="G91" s="199">
        <f t="shared" si="53"/>
        <v>-65402.261672004359</v>
      </c>
      <c r="H91" s="199"/>
      <c r="I91" s="200"/>
      <c r="J91" s="201"/>
    </row>
    <row r="92" spans="5:10" ht="12.75" customHeight="1">
      <c r="E92" s="180">
        <v>229518.46356971579</v>
      </c>
      <c r="F92" s="180">
        <v>251897.51111111112</v>
      </c>
      <c r="G92" s="199">
        <f t="shared" si="53"/>
        <v>-22379.047541395325</v>
      </c>
      <c r="H92" s="199"/>
      <c r="I92" s="200"/>
      <c r="J92" s="201"/>
    </row>
    <row r="93" spans="5:10" ht="12.75" customHeight="1">
      <c r="E93" s="180">
        <v>227656.2696364547</v>
      </c>
      <c r="F93" s="180">
        <v>249645.70777777777</v>
      </c>
      <c r="G93" s="199">
        <f t="shared" si="53"/>
        <v>-21989.438141323073</v>
      </c>
      <c r="H93" s="199"/>
      <c r="I93" s="200"/>
      <c r="J93" s="201"/>
    </row>
    <row r="94" spans="5:10" ht="12.75" customHeight="1">
      <c r="E94" s="180">
        <v>185741.34290994913</v>
      </c>
      <c r="F94" s="180">
        <v>205998.2169756256</v>
      </c>
      <c r="G94" s="199">
        <f t="shared" si="53"/>
        <v>-20256.874065676471</v>
      </c>
      <c r="H94" s="199"/>
      <c r="I94" s="200"/>
      <c r="J94" s="201"/>
    </row>
    <row r="95" spans="5:10" ht="12.75" customHeight="1">
      <c r="E95" s="180">
        <v>78830.35648290487</v>
      </c>
      <c r="F95" s="180">
        <v>87696.739331146033</v>
      </c>
      <c r="G95" s="199">
        <f t="shared" si="53"/>
        <v>-8866.3828482411627</v>
      </c>
      <c r="H95" s="199"/>
      <c r="I95" s="200"/>
      <c r="J95" s="201"/>
    </row>
    <row r="96" spans="5:10" ht="12.75" customHeight="1">
      <c r="E96" s="180">
        <v>36514.867050668458</v>
      </c>
      <c r="F96" s="180">
        <v>40500.711549338856</v>
      </c>
      <c r="G96" s="199">
        <f t="shared" si="53"/>
        <v>-3985.844498670398</v>
      </c>
      <c r="H96" s="199"/>
      <c r="I96" s="200"/>
      <c r="J96" s="201"/>
    </row>
    <row r="97" spans="5:10" ht="12.75" customHeight="1">
      <c r="E97" s="180">
        <v>17161.945194330583</v>
      </c>
      <c r="F97" s="180">
        <v>19038.576480221469</v>
      </c>
      <c r="G97" s="199">
        <f t="shared" si="53"/>
        <v>-1876.6312858908859</v>
      </c>
      <c r="H97" s="199"/>
      <c r="I97" s="200"/>
      <c r="J97" s="201"/>
    </row>
    <row r="98" spans="5:10" ht="12.75" customHeight="1">
      <c r="E98" s="180">
        <v>125057.12522754009</v>
      </c>
      <c r="F98" s="180">
        <v>138731.92205669577</v>
      </c>
      <c r="G98" s="199">
        <f t="shared" si="53"/>
        <v>-13674.796829155675</v>
      </c>
      <c r="H98" s="199"/>
      <c r="I98" s="200"/>
      <c r="J98" s="201"/>
    </row>
    <row r="99" spans="5:10" ht="12.75" customHeight="1">
      <c r="E99" s="180">
        <v>73430.617962627584</v>
      </c>
      <c r="F99" s="180">
        <v>81460.13871045578</v>
      </c>
      <c r="G99" s="199">
        <f t="shared" si="53"/>
        <v>-8029.5207478281955</v>
      </c>
      <c r="H99" s="199"/>
      <c r="I99" s="200"/>
      <c r="J99" s="201"/>
    </row>
    <row r="100" spans="5:10" ht="12.75" customHeight="1">
      <c r="E100" s="180">
        <v>85528.382607811436</v>
      </c>
      <c r="F100" s="180">
        <v>94880.774589956171</v>
      </c>
      <c r="G100" s="199">
        <f t="shared" si="53"/>
        <v>-9352.3919821447344</v>
      </c>
      <c r="H100" s="199"/>
      <c r="I100" s="200"/>
      <c r="J100" s="201"/>
    </row>
    <row r="101" spans="5:10" ht="12.75" customHeight="1">
      <c r="E101" s="199"/>
      <c r="F101" s="199"/>
      <c r="H101" s="199"/>
      <c r="I101" s="199"/>
      <c r="J101" s="199"/>
    </row>
    <row r="102" spans="5:10" ht="12.75" customHeight="1">
      <c r="E102" s="199">
        <f>SUM(E76:E101)</f>
        <v>6810705.0589428414</v>
      </c>
      <c r="F102" s="199">
        <f>SUM(F76:F101)</f>
        <v>7463959.3932195175</v>
      </c>
      <c r="G102" s="199">
        <f>SUM(G76:G101)</f>
        <v>-653254.33427667688</v>
      </c>
      <c r="H102" s="199"/>
      <c r="I102" s="199"/>
      <c r="J102" s="19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0" orientation="landscape" r:id="rId1"/>
  <headerFooter alignWithMargins="0">
    <oddHeader xml:space="preserve">&amp;R&amp;16AEP - SPP Formula Rate
Schedule 11 Revenue Requirements
Public Service Company of Oklahoma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rgb="FFC00000"/>
  </sheetPr>
  <dimension ref="A1:V162"/>
  <sheetViews>
    <sheetView topLeftCell="A127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7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8032.1425020482975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8032.1425020482975</v>
      </c>
      <c r="O6" s="1"/>
      <c r="P6" s="1"/>
    </row>
    <row r="7" spans="1:16" ht="13.5" thickBot="1">
      <c r="C7" s="26" t="s">
        <v>46</v>
      </c>
      <c r="D7" s="332" t="s">
        <v>214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86</v>
      </c>
      <c r="E9" s="404" t="s">
        <v>348</v>
      </c>
      <c r="F9" s="32"/>
      <c r="G9" s="452" t="s">
        <v>393</v>
      </c>
      <c r="H9" s="32"/>
      <c r="I9" s="33"/>
      <c r="J9" s="34"/>
      <c r="P9" s="1"/>
    </row>
    <row r="10" spans="1:16" ht="13">
      <c r="C10" s="128" t="s">
        <v>226</v>
      </c>
      <c r="D10" s="336">
        <v>84424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IF(D10=0,0,ROUND(D10/D13,0))</f>
        <v>2222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2007</v>
      </c>
      <c r="D17" s="349">
        <v>84424</v>
      </c>
      <c r="E17" s="350">
        <v>0</v>
      </c>
      <c r="F17" s="349">
        <v>84424</v>
      </c>
      <c r="G17" s="350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351">
        <v>84424</v>
      </c>
      <c r="E18" s="352">
        <v>1508</v>
      </c>
      <c r="F18" s="351">
        <v>82916</v>
      </c>
      <c r="G18" s="352">
        <v>0</v>
      </c>
      <c r="H18" s="353">
        <v>0</v>
      </c>
      <c r="I18" s="52">
        <f t="shared" si="0"/>
        <v>0</v>
      </c>
      <c r="J18" s="52"/>
      <c r="K18" s="324">
        <v>0</v>
      </c>
      <c r="L18" s="54">
        <f t="shared" si="1"/>
        <v>0</v>
      </c>
      <c r="M18" s="324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351">
        <v>82916</v>
      </c>
      <c r="E19" s="352">
        <v>1508</v>
      </c>
      <c r="F19" s="351">
        <v>81408</v>
      </c>
      <c r="G19" s="352">
        <v>0</v>
      </c>
      <c r="H19" s="353">
        <v>0</v>
      </c>
      <c r="I19" s="52">
        <f t="shared" si="0"/>
        <v>0</v>
      </c>
      <c r="J19" s="52"/>
      <c r="K19" s="324">
        <v>0</v>
      </c>
      <c r="L19" s="54">
        <f t="shared" si="1"/>
        <v>0</v>
      </c>
      <c r="M19" s="324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2010</v>
      </c>
      <c r="D20" s="351">
        <v>81408</v>
      </c>
      <c r="E20" s="352">
        <v>1508</v>
      </c>
      <c r="F20" s="351">
        <v>79900</v>
      </c>
      <c r="G20" s="352">
        <v>13037.291488737637</v>
      </c>
      <c r="H20" s="353">
        <v>13037.291488737637</v>
      </c>
      <c r="I20" s="52">
        <v>0</v>
      </c>
      <c r="J20" s="52"/>
      <c r="K20" s="379">
        <f t="shared" ref="K20:K25" si="5">G20</f>
        <v>13037.291488737637</v>
      </c>
      <c r="L20" s="380">
        <f t="shared" si="1"/>
        <v>0</v>
      </c>
      <c r="M20" s="379">
        <f t="shared" ref="M20:M25" si="6">H20</f>
        <v>13037.291488737637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2011</v>
      </c>
      <c r="D21" s="351">
        <v>79900</v>
      </c>
      <c r="E21" s="352">
        <v>1655</v>
      </c>
      <c r="F21" s="351">
        <v>78245</v>
      </c>
      <c r="G21" s="352">
        <v>13903.733792156472</v>
      </c>
      <c r="H21" s="353">
        <v>13903.733792156472</v>
      </c>
      <c r="I21" s="52">
        <f t="shared" si="0"/>
        <v>0</v>
      </c>
      <c r="J21" s="52"/>
      <c r="K21" s="324">
        <f t="shared" si="5"/>
        <v>13903.733792156472</v>
      </c>
      <c r="L21" s="54">
        <f t="shared" si="1"/>
        <v>0</v>
      </c>
      <c r="M21" s="324">
        <f t="shared" si="6"/>
        <v>13903.733792156472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351">
        <v>78245</v>
      </c>
      <c r="E22" s="352">
        <v>1624</v>
      </c>
      <c r="F22" s="351">
        <v>76621</v>
      </c>
      <c r="G22" s="352">
        <v>12290.159159207155</v>
      </c>
      <c r="H22" s="353">
        <v>12290.159159207155</v>
      </c>
      <c r="I22" s="52">
        <f t="shared" si="0"/>
        <v>0</v>
      </c>
      <c r="J22" s="52"/>
      <c r="K22" s="324">
        <f t="shared" si="5"/>
        <v>12290.159159207155</v>
      </c>
      <c r="L22" s="54">
        <f t="shared" si="1"/>
        <v>0</v>
      </c>
      <c r="M22" s="324">
        <f t="shared" si="6"/>
        <v>12290.159159207155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351">
        <v>76621</v>
      </c>
      <c r="E23" s="352">
        <v>1624</v>
      </c>
      <c r="F23" s="351">
        <v>74997</v>
      </c>
      <c r="G23" s="352">
        <v>12334.078606810854</v>
      </c>
      <c r="H23" s="353">
        <v>12334.078606810854</v>
      </c>
      <c r="I23" s="52">
        <v>0</v>
      </c>
      <c r="J23" s="52"/>
      <c r="K23" s="324">
        <f t="shared" si="5"/>
        <v>12334.078606810854</v>
      </c>
      <c r="L23" s="54">
        <f t="shared" ref="L23:L28" si="7">IF(K23&lt;&gt;0,+G23-K23,0)</f>
        <v>0</v>
      </c>
      <c r="M23" s="324">
        <f t="shared" si="6"/>
        <v>12334.078606810854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351">
        <v>74997</v>
      </c>
      <c r="E24" s="352">
        <v>1624</v>
      </c>
      <c r="F24" s="351">
        <v>73373</v>
      </c>
      <c r="G24" s="352">
        <v>11724.436761777028</v>
      </c>
      <c r="H24" s="353">
        <v>11724.436761777028</v>
      </c>
      <c r="I24" s="52">
        <v>0</v>
      </c>
      <c r="J24" s="52"/>
      <c r="K24" s="324">
        <f t="shared" si="5"/>
        <v>11724.436761777028</v>
      </c>
      <c r="L24" s="54">
        <f t="shared" si="7"/>
        <v>0</v>
      </c>
      <c r="M24" s="324">
        <f t="shared" si="6"/>
        <v>11724.436761777028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351">
        <v>73373</v>
      </c>
      <c r="E25" s="352">
        <v>1624</v>
      </c>
      <c r="F25" s="351">
        <v>71749</v>
      </c>
      <c r="G25" s="352">
        <v>11516.153501332747</v>
      </c>
      <c r="H25" s="353">
        <v>11516.153501332747</v>
      </c>
      <c r="I25" s="52">
        <v>0</v>
      </c>
      <c r="J25" s="52"/>
      <c r="K25" s="324">
        <f t="shared" si="5"/>
        <v>11516.153501332747</v>
      </c>
      <c r="L25" s="54">
        <f t="shared" si="7"/>
        <v>0</v>
      </c>
      <c r="M25" s="324">
        <f t="shared" si="6"/>
        <v>11516.153501332747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351">
        <v>71749</v>
      </c>
      <c r="E26" s="352">
        <v>1624</v>
      </c>
      <c r="F26" s="351">
        <v>70125</v>
      </c>
      <c r="G26" s="352">
        <v>10821.569336122064</v>
      </c>
      <c r="H26" s="353">
        <v>10821.569336122064</v>
      </c>
      <c r="I26" s="52">
        <f t="shared" si="0"/>
        <v>0</v>
      </c>
      <c r="J26" s="52"/>
      <c r="K26" s="324">
        <f t="shared" ref="K26:K31" si="10">G26</f>
        <v>10821.569336122064</v>
      </c>
      <c r="L26" s="54">
        <f t="shared" si="7"/>
        <v>0</v>
      </c>
      <c r="M26" s="324">
        <f t="shared" ref="M26:M31" si="11">H26</f>
        <v>10821.569336122064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351">
        <v>70125</v>
      </c>
      <c r="E27" s="352">
        <v>1835</v>
      </c>
      <c r="F27" s="351">
        <v>68290</v>
      </c>
      <c r="G27" s="352">
        <v>10525.630110064558</v>
      </c>
      <c r="H27" s="353">
        <v>10525.630110064558</v>
      </c>
      <c r="I27" s="52">
        <f t="shared" si="0"/>
        <v>0</v>
      </c>
      <c r="J27" s="52"/>
      <c r="K27" s="324">
        <f t="shared" si="10"/>
        <v>10525.630110064558</v>
      </c>
      <c r="L27" s="54">
        <f t="shared" si="7"/>
        <v>0</v>
      </c>
      <c r="M27" s="324">
        <f t="shared" si="11"/>
        <v>10525.630110064558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351">
        <v>68290</v>
      </c>
      <c r="E28" s="352">
        <v>1876</v>
      </c>
      <c r="F28" s="351">
        <v>66414</v>
      </c>
      <c r="G28" s="352">
        <v>9942.0041745497692</v>
      </c>
      <c r="H28" s="353">
        <v>9942.0041745497692</v>
      </c>
      <c r="I28" s="52">
        <f t="shared" si="0"/>
        <v>0</v>
      </c>
      <c r="J28" s="52"/>
      <c r="K28" s="324">
        <f t="shared" si="10"/>
        <v>9942.0041745497692</v>
      </c>
      <c r="L28" s="54">
        <f t="shared" si="7"/>
        <v>0</v>
      </c>
      <c r="M28" s="324">
        <f t="shared" si="11"/>
        <v>9942.0041745497692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351">
        <v>66414</v>
      </c>
      <c r="E29" s="352">
        <v>2111</v>
      </c>
      <c r="F29" s="351">
        <v>64303</v>
      </c>
      <c r="G29" s="352">
        <v>9408.7099366610164</v>
      </c>
      <c r="H29" s="353">
        <v>9408.7099366610164</v>
      </c>
      <c r="I29" s="52">
        <f t="shared" si="0"/>
        <v>0</v>
      </c>
      <c r="J29" s="52"/>
      <c r="K29" s="324">
        <f t="shared" si="10"/>
        <v>9408.7099366610164</v>
      </c>
      <c r="L29" s="54">
        <f t="shared" ref="L29" si="12">IF(K29&lt;&gt;0,+G29-K29,0)</f>
        <v>0</v>
      </c>
      <c r="M29" s="324">
        <f t="shared" si="11"/>
        <v>9408.7099366610164</v>
      </c>
      <c r="N29" s="54">
        <f t="shared" ref="N29" si="13">IF(M29&lt;&gt;0,+H29-M29,0)</f>
        <v>0</v>
      </c>
      <c r="O29" s="54">
        <f t="shared" ref="O29" si="14">+N29-L29</f>
        <v>0</v>
      </c>
      <c r="P29" s="1"/>
    </row>
    <row r="30" spans="2:16" ht="12.5">
      <c r="B30" s="7" t="str">
        <f t="shared" si="4"/>
        <v>IU</v>
      </c>
      <c r="C30" s="50">
        <f>IF(D11="","-",+C29+1)</f>
        <v>2020</v>
      </c>
      <c r="D30" s="351">
        <v>64538</v>
      </c>
      <c r="E30" s="352">
        <v>2010</v>
      </c>
      <c r="F30" s="351">
        <v>62528</v>
      </c>
      <c r="G30" s="352">
        <v>8871.8674914200565</v>
      </c>
      <c r="H30" s="353">
        <v>8871.8674914200565</v>
      </c>
      <c r="I30" s="52">
        <f t="shared" si="0"/>
        <v>0</v>
      </c>
      <c r="J30" s="52"/>
      <c r="K30" s="324">
        <f t="shared" si="10"/>
        <v>8871.8674914200565</v>
      </c>
      <c r="L30" s="54">
        <f t="shared" ref="L30" si="15">IF(K30&lt;&gt;0,+G30-K30,0)</f>
        <v>0</v>
      </c>
      <c r="M30" s="324">
        <f t="shared" si="11"/>
        <v>8871.8674914200565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351">
        <v>62293</v>
      </c>
      <c r="E31" s="352">
        <v>1963</v>
      </c>
      <c r="F31" s="351">
        <v>60330</v>
      </c>
      <c r="G31" s="352">
        <v>8467.8802590192263</v>
      </c>
      <c r="H31" s="353">
        <v>8467.8802590192263</v>
      </c>
      <c r="I31" s="52">
        <f t="shared" si="0"/>
        <v>0</v>
      </c>
      <c r="J31" s="52"/>
      <c r="K31" s="324">
        <f t="shared" si="10"/>
        <v>8467.8802590192263</v>
      </c>
      <c r="L31" s="54">
        <f t="shared" ref="L31" si="16">IF(K31&lt;&gt;0,+G31-K31,0)</f>
        <v>0</v>
      </c>
      <c r="M31" s="324">
        <f t="shared" si="11"/>
        <v>8467.8802590192263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2022</v>
      </c>
      <c r="D32" s="351">
        <v>60330</v>
      </c>
      <c r="E32" s="352">
        <v>2010</v>
      </c>
      <c r="F32" s="351">
        <v>58320</v>
      </c>
      <c r="G32" s="352">
        <v>8297.5518554789269</v>
      </c>
      <c r="H32" s="353">
        <v>8297.5518554789269</v>
      </c>
      <c r="I32" s="52">
        <f t="shared" si="0"/>
        <v>0</v>
      </c>
      <c r="J32" s="52"/>
      <c r="K32" s="324">
        <f t="shared" ref="K32" si="17">G32</f>
        <v>8297.5518554789269</v>
      </c>
      <c r="L32" s="54">
        <f t="shared" ref="L32" si="18">IF(K32&lt;&gt;0,+G32-K32,0)</f>
        <v>0</v>
      </c>
      <c r="M32" s="324">
        <f t="shared" ref="M32" si="19">H32</f>
        <v>8297.5518554789269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351">
        <v>58320</v>
      </c>
      <c r="E33" s="352">
        <v>2165</v>
      </c>
      <c r="F33" s="351">
        <v>56155</v>
      </c>
      <c r="G33" s="352">
        <v>8867.6018741323824</v>
      </c>
      <c r="H33" s="353">
        <v>8867.6018741323824</v>
      </c>
      <c r="I33" s="52">
        <f t="shared" si="0"/>
        <v>0</v>
      </c>
      <c r="J33" s="52"/>
      <c r="K33" s="324">
        <f t="shared" ref="K33" si="20">G33</f>
        <v>8867.6018741323824</v>
      </c>
      <c r="L33" s="54">
        <f t="shared" ref="L33" si="21">IF(K33&lt;&gt;0,+G33-K33,0)</f>
        <v>0</v>
      </c>
      <c r="M33" s="324">
        <f t="shared" ref="M33" si="22">H33</f>
        <v>8867.6018741323824</v>
      </c>
      <c r="N33" s="54">
        <f t="shared" ref="N33" si="23">IF(M33&lt;&gt;0,+H33-M33,0)</f>
        <v>0</v>
      </c>
      <c r="O33" s="54">
        <f t="shared" ref="O33" si="24">+N33-L33</f>
        <v>0</v>
      </c>
      <c r="P33" s="1"/>
    </row>
    <row r="34" spans="2:16" ht="12.5">
      <c r="B34" s="7" t="str">
        <f t="shared" si="4"/>
        <v/>
      </c>
      <c r="C34" s="450">
        <f>IF(D11="","-",+C33+1)</f>
        <v>2024</v>
      </c>
      <c r="D34" s="351">
        <v>56155</v>
      </c>
      <c r="E34" s="352">
        <v>2222</v>
      </c>
      <c r="F34" s="351">
        <v>53933</v>
      </c>
      <c r="G34" s="352">
        <v>8356.3495367299729</v>
      </c>
      <c r="H34" s="353">
        <v>8356.3495367299729</v>
      </c>
      <c r="I34" s="52">
        <f t="shared" si="0"/>
        <v>0</v>
      </c>
      <c r="J34" s="52"/>
      <c r="K34" s="324">
        <f t="shared" ref="K34" si="25">G34</f>
        <v>8356.3495367299729</v>
      </c>
      <c r="L34" s="54">
        <f t="shared" ref="L34" si="26">IF(K34&lt;&gt;0,+G34-K34,0)</f>
        <v>0</v>
      </c>
      <c r="M34" s="324">
        <f t="shared" ref="M34" si="27">H34</f>
        <v>8356.3495367299729</v>
      </c>
      <c r="N34" s="54">
        <f t="shared" ref="N34" si="28">IF(M34&lt;&gt;0,+H34-M34,0)</f>
        <v>0</v>
      </c>
      <c r="O34" s="54">
        <f t="shared" ref="O34" si="29">+N34-L34</f>
        <v>0</v>
      </c>
      <c r="P34" s="1"/>
    </row>
    <row r="35" spans="2:16" ht="13">
      <c r="B35" s="7" t="str">
        <f t="shared" si="4"/>
        <v/>
      </c>
      <c r="C35" s="449">
        <f>IF(D11="","-",+C34+1)</f>
        <v>2025</v>
      </c>
      <c r="D35" s="351">
        <v>53933</v>
      </c>
      <c r="E35" s="352">
        <v>2222</v>
      </c>
      <c r="F35" s="351">
        <v>51711</v>
      </c>
      <c r="G35" s="352">
        <v>8096.7054209805347</v>
      </c>
      <c r="H35" s="353">
        <v>8096.7054209805347</v>
      </c>
      <c r="I35" s="52">
        <f t="shared" si="0"/>
        <v>0</v>
      </c>
      <c r="J35" s="52"/>
      <c r="K35" s="324">
        <f t="shared" ref="K35" si="30">G35</f>
        <v>8096.7054209805347</v>
      </c>
      <c r="L35" s="54">
        <f t="shared" ref="L35" si="31">IF(K35&lt;&gt;0,+G35-K35,0)</f>
        <v>0</v>
      </c>
      <c r="M35" s="324">
        <f t="shared" ref="M35" si="32">H35</f>
        <v>8096.7054209805347</v>
      </c>
      <c r="N35" s="54">
        <f t="shared" ref="N35" si="33">IF(M35&lt;&gt;0,+H35-M35,0)</f>
        <v>0</v>
      </c>
      <c r="O35" s="54">
        <f t="shared" ref="O35" si="34">+N35-L35</f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51711</v>
      </c>
      <c r="E36" s="354">
        <f>IF(+I14&lt;F35,I14,D36)</f>
        <v>2222</v>
      </c>
      <c r="F36" s="55">
        <f t="shared" ref="F36:F48" si="35">+D36-E36</f>
        <v>49489</v>
      </c>
      <c r="G36" s="355">
        <f t="shared" ref="G36:G72" si="36">+I$12*F36+E36</f>
        <v>8032.1425020482975</v>
      </c>
      <c r="H36" s="337">
        <f t="shared" ref="H36:H72" si="37">+I$13*F36+E36</f>
        <v>8032.1425020482975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49489</v>
      </c>
      <c r="E37" s="354">
        <f>IF(+I14&lt;F36,I14,D37)</f>
        <v>2222</v>
      </c>
      <c r="F37" s="55">
        <f t="shared" si="35"/>
        <v>47267</v>
      </c>
      <c r="G37" s="355">
        <f t="shared" si="36"/>
        <v>7771.2736899981182</v>
      </c>
      <c r="H37" s="337">
        <f t="shared" si="37"/>
        <v>7771.2736899981182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47267</v>
      </c>
      <c r="E38" s="354">
        <f>IF(+I14&lt;F37,I14,D38)</f>
        <v>2222</v>
      </c>
      <c r="F38" s="55">
        <f t="shared" si="35"/>
        <v>45045</v>
      </c>
      <c r="G38" s="355">
        <f t="shared" si="36"/>
        <v>7510.404877947939</v>
      </c>
      <c r="H38" s="337">
        <f t="shared" si="37"/>
        <v>7510.404877947939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45045</v>
      </c>
      <c r="E39" s="354">
        <f>IF(+I14&lt;F38,I14,D39)</f>
        <v>2222</v>
      </c>
      <c r="F39" s="55">
        <f t="shared" si="35"/>
        <v>42823</v>
      </c>
      <c r="G39" s="355">
        <f t="shared" si="36"/>
        <v>7249.5360658977597</v>
      </c>
      <c r="H39" s="337">
        <f t="shared" si="37"/>
        <v>7249.5360658977597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42823</v>
      </c>
      <c r="E40" s="354">
        <f>IF(+I14&lt;F39,I14,D40)</f>
        <v>2222</v>
      </c>
      <c r="F40" s="55">
        <f t="shared" si="35"/>
        <v>40601</v>
      </c>
      <c r="G40" s="355">
        <f t="shared" si="36"/>
        <v>6988.6672538475805</v>
      </c>
      <c r="H40" s="337">
        <f t="shared" si="37"/>
        <v>6988.6672538475805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40601</v>
      </c>
      <c r="E41" s="354">
        <f>IF(+I14&lt;F40,I14,D41)</f>
        <v>2222</v>
      </c>
      <c r="F41" s="55">
        <f t="shared" si="35"/>
        <v>38379</v>
      </c>
      <c r="G41" s="355">
        <f t="shared" si="36"/>
        <v>6727.7984417974012</v>
      </c>
      <c r="H41" s="337">
        <f t="shared" si="37"/>
        <v>6727.7984417974012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38379</v>
      </c>
      <c r="E42" s="354">
        <f>IF(+I14&lt;F41,I14,D42)</f>
        <v>2222</v>
      </c>
      <c r="F42" s="55">
        <f t="shared" si="35"/>
        <v>36157</v>
      </c>
      <c r="G42" s="355">
        <f t="shared" si="36"/>
        <v>6466.929629747222</v>
      </c>
      <c r="H42" s="337">
        <f t="shared" si="37"/>
        <v>6466.929629747222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36157</v>
      </c>
      <c r="E43" s="354">
        <f>IF(+I14&lt;F42,I14,D43)</f>
        <v>2222</v>
      </c>
      <c r="F43" s="55">
        <f t="shared" si="35"/>
        <v>33935</v>
      </c>
      <c r="G43" s="355">
        <f t="shared" si="36"/>
        <v>6206.0608176970436</v>
      </c>
      <c r="H43" s="337">
        <f t="shared" si="37"/>
        <v>6206.0608176970436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33935</v>
      </c>
      <c r="E44" s="354">
        <f>IF(+I14&lt;F43,I14,D44)</f>
        <v>2222</v>
      </c>
      <c r="F44" s="55">
        <f t="shared" si="35"/>
        <v>31713</v>
      </c>
      <c r="G44" s="355">
        <f t="shared" si="36"/>
        <v>5945.1920056468643</v>
      </c>
      <c r="H44" s="337">
        <f t="shared" si="37"/>
        <v>5945.1920056468643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31713</v>
      </c>
      <c r="E45" s="354">
        <f>IF(+I14&lt;F44,I14,D45)</f>
        <v>2222</v>
      </c>
      <c r="F45" s="55">
        <f t="shared" si="35"/>
        <v>29491</v>
      </c>
      <c r="G45" s="355">
        <f t="shared" si="36"/>
        <v>5684.3231935966851</v>
      </c>
      <c r="H45" s="337">
        <f t="shared" si="37"/>
        <v>5684.3231935966851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29491</v>
      </c>
      <c r="E46" s="354">
        <f>IF(+I14&lt;F45,I14,D46)</f>
        <v>2222</v>
      </c>
      <c r="F46" s="55">
        <f t="shared" si="35"/>
        <v>27269</v>
      </c>
      <c r="G46" s="355">
        <f t="shared" si="36"/>
        <v>5423.4543815465058</v>
      </c>
      <c r="H46" s="337">
        <f t="shared" si="37"/>
        <v>5423.4543815465058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27269</v>
      </c>
      <c r="E47" s="354">
        <f>IF(+I14&lt;F46,I14,D47)</f>
        <v>2222</v>
      </c>
      <c r="F47" s="55">
        <f t="shared" si="35"/>
        <v>25047</v>
      </c>
      <c r="G47" s="355">
        <f t="shared" si="36"/>
        <v>5162.5855694963266</v>
      </c>
      <c r="H47" s="337">
        <f t="shared" si="37"/>
        <v>5162.5855694963266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25047</v>
      </c>
      <c r="E48" s="354">
        <f>IF(+I14&lt;F47,I14,D48)</f>
        <v>2222</v>
      </c>
      <c r="F48" s="55">
        <f t="shared" si="35"/>
        <v>22825</v>
      </c>
      <c r="G48" s="355">
        <f t="shared" si="36"/>
        <v>4901.7167574461473</v>
      </c>
      <c r="H48" s="337">
        <f t="shared" si="37"/>
        <v>4901.7167574461473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22825</v>
      </c>
      <c r="E49" s="354">
        <f>IF(+I14&lt;F48,I14,D49)</f>
        <v>2222</v>
      </c>
      <c r="F49" s="55">
        <f t="shared" ref="F49:F72" si="38">+D49-E49</f>
        <v>20603</v>
      </c>
      <c r="G49" s="355">
        <f t="shared" si="36"/>
        <v>4640.8479453959681</v>
      </c>
      <c r="H49" s="337">
        <f t="shared" si="37"/>
        <v>4640.8479453959681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20603</v>
      </c>
      <c r="E50" s="354">
        <f>IF(+I14&lt;F49,I14,D50)</f>
        <v>2222</v>
      </c>
      <c r="F50" s="55">
        <f t="shared" si="38"/>
        <v>18381</v>
      </c>
      <c r="G50" s="355">
        <f t="shared" si="36"/>
        <v>4379.9791333457888</v>
      </c>
      <c r="H50" s="337">
        <f t="shared" si="37"/>
        <v>4379.9791333457888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18381</v>
      </c>
      <c r="E51" s="354">
        <f>IF(+I14&lt;F50,I14,D51)</f>
        <v>2222</v>
      </c>
      <c r="F51" s="55">
        <f t="shared" si="38"/>
        <v>16159</v>
      </c>
      <c r="G51" s="355">
        <f t="shared" si="36"/>
        <v>4119.1103212956095</v>
      </c>
      <c r="H51" s="337">
        <f t="shared" si="37"/>
        <v>4119.1103212956095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16159</v>
      </c>
      <c r="E52" s="354">
        <f>IF(+I14&lt;F51,I14,D52)</f>
        <v>2222</v>
      </c>
      <c r="F52" s="55">
        <f t="shared" si="38"/>
        <v>13937</v>
      </c>
      <c r="G52" s="355">
        <f t="shared" si="36"/>
        <v>3858.2415092454307</v>
      </c>
      <c r="H52" s="337">
        <f t="shared" si="37"/>
        <v>3858.2415092454307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13937</v>
      </c>
      <c r="E53" s="354">
        <f>IF(+I14&lt;F52,I14,D53)</f>
        <v>2222</v>
      </c>
      <c r="F53" s="55">
        <f t="shared" si="38"/>
        <v>11715</v>
      </c>
      <c r="G53" s="355">
        <f t="shared" si="36"/>
        <v>3597.3726971952515</v>
      </c>
      <c r="H53" s="337">
        <f t="shared" si="37"/>
        <v>3597.3726971952515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11715</v>
      </c>
      <c r="E54" s="354">
        <f>IF(+I14&lt;F53,I14,D54)</f>
        <v>2222</v>
      </c>
      <c r="F54" s="55">
        <f t="shared" si="38"/>
        <v>9493</v>
      </c>
      <c r="G54" s="355">
        <f t="shared" si="36"/>
        <v>3336.5038851450727</v>
      </c>
      <c r="H54" s="337">
        <f t="shared" si="37"/>
        <v>3336.5038851450727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9493</v>
      </c>
      <c r="E55" s="354">
        <f>IF(+I14&lt;F54,I14,D55)</f>
        <v>2222</v>
      </c>
      <c r="F55" s="55">
        <f t="shared" si="38"/>
        <v>7271</v>
      </c>
      <c r="G55" s="355">
        <f t="shared" si="36"/>
        <v>3075.6350730948934</v>
      </c>
      <c r="H55" s="337">
        <f t="shared" si="37"/>
        <v>3075.6350730948934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7271</v>
      </c>
      <c r="E56" s="354">
        <f>IF(+I14&lt;F55,I14,D56)</f>
        <v>2222</v>
      </c>
      <c r="F56" s="55">
        <f t="shared" si="38"/>
        <v>5049</v>
      </c>
      <c r="G56" s="355">
        <f t="shared" si="36"/>
        <v>2814.7662610447142</v>
      </c>
      <c r="H56" s="337">
        <f t="shared" si="37"/>
        <v>2814.7662610447142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5049</v>
      </c>
      <c r="E57" s="354">
        <f>IF(+I14&lt;F56,I14,D57)</f>
        <v>2222</v>
      </c>
      <c r="F57" s="55">
        <f t="shared" si="38"/>
        <v>2827</v>
      </c>
      <c r="G57" s="355">
        <f t="shared" si="36"/>
        <v>2553.8974489945349</v>
      </c>
      <c r="H57" s="337">
        <f t="shared" si="37"/>
        <v>2553.8974489945349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2827</v>
      </c>
      <c r="E58" s="354">
        <f>IF(+I14&lt;F57,I14,D58)</f>
        <v>2222</v>
      </c>
      <c r="F58" s="55">
        <f t="shared" si="38"/>
        <v>605</v>
      </c>
      <c r="G58" s="355">
        <f t="shared" si="36"/>
        <v>2293.0286369443556</v>
      </c>
      <c r="H58" s="337">
        <f t="shared" si="37"/>
        <v>2293.0286369443556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605</v>
      </c>
      <c r="E59" s="354">
        <f>IF(+I14&lt;F58,I14,D59)</f>
        <v>605</v>
      </c>
      <c r="F59" s="55">
        <f t="shared" si="38"/>
        <v>0</v>
      </c>
      <c r="G59" s="355">
        <f t="shared" si="36"/>
        <v>605</v>
      </c>
      <c r="H59" s="337">
        <f t="shared" si="37"/>
        <v>605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2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2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2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2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2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2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2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2:16" ht="12.5">
      <c r="C73" s="12" t="s">
        <v>77</v>
      </c>
      <c r="D73" s="267"/>
      <c r="E73" s="267">
        <f>SUM(E17:E72)</f>
        <v>84424</v>
      </c>
      <c r="F73" s="267"/>
      <c r="G73" s="267">
        <f>SUM(G17:G72)</f>
        <v>285806.19140359591</v>
      </c>
      <c r="H73" s="267">
        <f>SUM(H17:H72)</f>
        <v>285806.19140359591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7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8356.3495367299729</v>
      </c>
      <c r="N87" s="364">
        <f>IF(J92&lt;D11,0,VLOOKUP(J92,C17:O72,11))</f>
        <v>8356.3495367299729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9520.3414133763945</v>
      </c>
      <c r="N88" s="367">
        <f>IF(J92&lt;D11,0,VLOOKUP(J92,C99:P154,7))</f>
        <v>9520.3414133763945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- Elk City 69 kV line (CT Upgrades)*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1163.9918766464216</v>
      </c>
      <c r="N89" s="369">
        <f>+N88-N87</f>
        <v>1163.9918766464216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TP2007015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84424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2282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2007</v>
      </c>
      <c r="D99" s="349">
        <v>0</v>
      </c>
      <c r="E99" s="352">
        <v>0</v>
      </c>
      <c r="F99" s="351">
        <v>84424</v>
      </c>
      <c r="G99" s="376">
        <v>42212</v>
      </c>
      <c r="H99" s="377">
        <v>0</v>
      </c>
      <c r="I99" s="378">
        <v>0</v>
      </c>
      <c r="J99" s="54">
        <f t="shared" ref="J99:J130" si="43">+I99-H99</f>
        <v>0</v>
      </c>
      <c r="K99" s="54"/>
      <c r="L99" s="117">
        <v>0</v>
      </c>
      <c r="M99" s="53">
        <f t="shared" ref="M99:M130" si="44">IF(L99&lt;&gt;0,+H99-L99,0)</f>
        <v>0</v>
      </c>
      <c r="N99" s="117">
        <v>0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349">
        <v>84424</v>
      </c>
      <c r="E100" s="352">
        <v>1593</v>
      </c>
      <c r="F100" s="351">
        <v>82831</v>
      </c>
      <c r="G100" s="351">
        <v>83628</v>
      </c>
      <c r="H100" s="352">
        <v>14877</v>
      </c>
      <c r="I100" s="353">
        <v>14877</v>
      </c>
      <c r="J100" s="54">
        <f t="shared" si="43"/>
        <v>0</v>
      </c>
      <c r="K100" s="54"/>
      <c r="L100" s="324">
        <v>14877</v>
      </c>
      <c r="M100" s="54">
        <f t="shared" si="44"/>
        <v>0</v>
      </c>
      <c r="N100" s="324">
        <v>14877</v>
      </c>
      <c r="O100" s="54">
        <f t="shared" si="45"/>
        <v>0</v>
      </c>
      <c r="P100" s="54">
        <f t="shared" si="46"/>
        <v>0</v>
      </c>
    </row>
    <row r="101" spans="1:16" ht="12.5">
      <c r="B101" s="7" t="str">
        <f t="shared" ref="B101:B154" si="47">IF(D101=F100,"","IU")</f>
        <v/>
      </c>
      <c r="C101" s="50">
        <f>IF(D93="","-",+C100+1)</f>
        <v>2009</v>
      </c>
      <c r="D101" s="349">
        <v>82831</v>
      </c>
      <c r="E101" s="352">
        <v>1508</v>
      </c>
      <c r="F101" s="351">
        <v>81323</v>
      </c>
      <c r="G101" s="351">
        <v>82077</v>
      </c>
      <c r="H101" s="352">
        <v>13508.337143636172</v>
      </c>
      <c r="I101" s="353">
        <v>13508.337143636172</v>
      </c>
      <c r="J101" s="54">
        <f t="shared" si="43"/>
        <v>0</v>
      </c>
      <c r="K101" s="54"/>
      <c r="L101" s="379">
        <f t="shared" ref="L101:L106" si="48">H101</f>
        <v>13508.337143636172</v>
      </c>
      <c r="M101" s="380">
        <f t="shared" si="44"/>
        <v>0</v>
      </c>
      <c r="N101" s="379">
        <f t="shared" ref="N101:N106" si="49">I101</f>
        <v>13508.337143636172</v>
      </c>
      <c r="O101" s="54">
        <f t="shared" si="45"/>
        <v>0</v>
      </c>
      <c r="P101" s="54">
        <f t="shared" si="46"/>
        <v>0</v>
      </c>
    </row>
    <row r="102" spans="1:16" ht="12.5">
      <c r="B102" s="7" t="str">
        <f t="shared" si="47"/>
        <v/>
      </c>
      <c r="C102" s="50">
        <f>IF(D93="","-",+C101+1)</f>
        <v>2010</v>
      </c>
      <c r="D102" s="349">
        <v>81323</v>
      </c>
      <c r="E102" s="352">
        <v>1655</v>
      </c>
      <c r="F102" s="351">
        <v>79668</v>
      </c>
      <c r="G102" s="351">
        <v>80495.5</v>
      </c>
      <c r="H102" s="352">
        <v>14599.901682354179</v>
      </c>
      <c r="I102" s="353">
        <v>14599.901682354179</v>
      </c>
      <c r="J102" s="54">
        <f t="shared" si="43"/>
        <v>0</v>
      </c>
      <c r="K102" s="54"/>
      <c r="L102" s="379">
        <f t="shared" si="48"/>
        <v>14599.901682354179</v>
      </c>
      <c r="M102" s="380">
        <f t="shared" si="44"/>
        <v>0</v>
      </c>
      <c r="N102" s="379">
        <f t="shared" si="49"/>
        <v>14599.901682354179</v>
      </c>
      <c r="O102" s="54">
        <f t="shared" si="45"/>
        <v>0</v>
      </c>
      <c r="P102" s="54">
        <f t="shared" si="46"/>
        <v>0</v>
      </c>
    </row>
    <row r="103" spans="1:16" ht="12.5">
      <c r="B103" s="7" t="str">
        <f t="shared" si="47"/>
        <v/>
      </c>
      <c r="C103" s="50">
        <f>IF(D93="","-",+C102+1)</f>
        <v>2011</v>
      </c>
      <c r="D103" s="349">
        <v>79668</v>
      </c>
      <c r="E103" s="352">
        <v>1624</v>
      </c>
      <c r="F103" s="351">
        <v>78044</v>
      </c>
      <c r="G103" s="351">
        <v>78856</v>
      </c>
      <c r="H103" s="352">
        <v>12649.128461660426</v>
      </c>
      <c r="I103" s="353">
        <v>12649.128461660426</v>
      </c>
      <c r="J103" s="54">
        <f t="shared" si="43"/>
        <v>0</v>
      </c>
      <c r="K103" s="54"/>
      <c r="L103" s="379">
        <f t="shared" si="48"/>
        <v>12649.128461660426</v>
      </c>
      <c r="M103" s="380">
        <f t="shared" si="44"/>
        <v>0</v>
      </c>
      <c r="N103" s="379">
        <f t="shared" si="49"/>
        <v>12649.128461660426</v>
      </c>
      <c r="O103" s="54">
        <f t="shared" si="45"/>
        <v>0</v>
      </c>
      <c r="P103" s="54">
        <f t="shared" si="46"/>
        <v>0</v>
      </c>
    </row>
    <row r="104" spans="1:16" ht="12.5">
      <c r="B104" s="7" t="str">
        <f t="shared" si="47"/>
        <v/>
      </c>
      <c r="C104" s="50">
        <f>IF(D93="","-",+C103+1)</f>
        <v>2012</v>
      </c>
      <c r="D104" s="349">
        <v>78044</v>
      </c>
      <c r="E104" s="352">
        <v>1624</v>
      </c>
      <c r="F104" s="351">
        <v>76420</v>
      </c>
      <c r="G104" s="351">
        <v>77232</v>
      </c>
      <c r="H104" s="352">
        <v>12734.246570183563</v>
      </c>
      <c r="I104" s="353">
        <v>12734.246570183563</v>
      </c>
      <c r="J104" s="54">
        <v>0</v>
      </c>
      <c r="K104" s="54"/>
      <c r="L104" s="379">
        <f t="shared" si="48"/>
        <v>12734.246570183563</v>
      </c>
      <c r="M104" s="380">
        <f t="shared" ref="M104:M109" si="50">IF(L104&lt;&gt;0,+H104-L104,0)</f>
        <v>0</v>
      </c>
      <c r="N104" s="379">
        <f t="shared" si="49"/>
        <v>12734.246570183563</v>
      </c>
      <c r="O104" s="54">
        <f t="shared" ref="O104:O109" si="51">IF(N104&lt;&gt;0,+I104-N104,0)</f>
        <v>0</v>
      </c>
      <c r="P104" s="54">
        <f t="shared" ref="P104:P109" si="52">+O104-M104</f>
        <v>0</v>
      </c>
    </row>
    <row r="105" spans="1:16" ht="12.5">
      <c r="B105" s="7" t="str">
        <f t="shared" si="47"/>
        <v/>
      </c>
      <c r="C105" s="50">
        <f>IF(D93="","-",+C104+1)</f>
        <v>2013</v>
      </c>
      <c r="D105" s="349">
        <v>76420</v>
      </c>
      <c r="E105" s="352">
        <v>1624</v>
      </c>
      <c r="F105" s="351">
        <v>74796</v>
      </c>
      <c r="G105" s="351">
        <v>75608</v>
      </c>
      <c r="H105" s="352">
        <v>12506.984818583547</v>
      </c>
      <c r="I105" s="353">
        <v>12506.984818583547</v>
      </c>
      <c r="J105" s="54">
        <v>0</v>
      </c>
      <c r="K105" s="54"/>
      <c r="L105" s="379">
        <f t="shared" si="48"/>
        <v>12506.984818583547</v>
      </c>
      <c r="M105" s="380">
        <f t="shared" si="50"/>
        <v>0</v>
      </c>
      <c r="N105" s="379">
        <f t="shared" si="49"/>
        <v>12506.984818583547</v>
      </c>
      <c r="O105" s="54">
        <f t="shared" si="51"/>
        <v>0</v>
      </c>
      <c r="P105" s="54">
        <f t="shared" si="52"/>
        <v>0</v>
      </c>
    </row>
    <row r="106" spans="1:16" ht="12.5">
      <c r="B106" s="7" t="str">
        <f t="shared" si="47"/>
        <v/>
      </c>
      <c r="C106" s="50">
        <f>IF(D93="","-",+C105+1)</f>
        <v>2014</v>
      </c>
      <c r="D106" s="349">
        <v>74796</v>
      </c>
      <c r="E106" s="352">
        <v>1624</v>
      </c>
      <c r="F106" s="351">
        <v>73172</v>
      </c>
      <c r="G106" s="351">
        <v>73984</v>
      </c>
      <c r="H106" s="352">
        <v>12025.847971361507</v>
      </c>
      <c r="I106" s="353">
        <v>12025.847971361507</v>
      </c>
      <c r="J106" s="54">
        <v>0</v>
      </c>
      <c r="K106" s="54"/>
      <c r="L106" s="379">
        <f t="shared" si="48"/>
        <v>12025.847971361507</v>
      </c>
      <c r="M106" s="380">
        <f t="shared" si="50"/>
        <v>0</v>
      </c>
      <c r="N106" s="379">
        <f t="shared" si="49"/>
        <v>12025.847971361507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7"/>
        <v/>
      </c>
      <c r="C107" s="50">
        <f>IF(D93="","-",+C106+1)</f>
        <v>2015</v>
      </c>
      <c r="D107" s="349">
        <v>73172</v>
      </c>
      <c r="E107" s="352">
        <v>1624</v>
      </c>
      <c r="F107" s="351">
        <v>71548</v>
      </c>
      <c r="G107" s="351">
        <v>72360</v>
      </c>
      <c r="H107" s="352">
        <v>11496.940196929139</v>
      </c>
      <c r="I107" s="353">
        <v>11496.940196929139</v>
      </c>
      <c r="J107" s="54">
        <f t="shared" si="43"/>
        <v>0</v>
      </c>
      <c r="K107" s="54"/>
      <c r="L107" s="379">
        <f t="shared" ref="L107:L112" si="53">H107</f>
        <v>11496.940196929139</v>
      </c>
      <c r="M107" s="380">
        <f t="shared" si="50"/>
        <v>0</v>
      </c>
      <c r="N107" s="379">
        <f t="shared" ref="N107:N112" si="54">I107</f>
        <v>11496.940196929139</v>
      </c>
      <c r="O107" s="54">
        <f t="shared" si="51"/>
        <v>0</v>
      </c>
      <c r="P107" s="54">
        <f t="shared" si="52"/>
        <v>0</v>
      </c>
    </row>
    <row r="108" spans="1:16" ht="12.5">
      <c r="B108" s="7" t="str">
        <f t="shared" si="47"/>
        <v/>
      </c>
      <c r="C108" s="50">
        <f>IF(D93="","-",+C107+1)</f>
        <v>2016</v>
      </c>
      <c r="D108" s="349">
        <v>71548</v>
      </c>
      <c r="E108" s="352">
        <v>1835</v>
      </c>
      <c r="F108" s="351">
        <v>69713</v>
      </c>
      <c r="G108" s="351">
        <v>70630.5</v>
      </c>
      <c r="H108" s="352">
        <v>10940.383800869789</v>
      </c>
      <c r="I108" s="353">
        <v>10940.383800869789</v>
      </c>
      <c r="J108" s="54">
        <f t="shared" si="43"/>
        <v>0</v>
      </c>
      <c r="K108" s="54"/>
      <c r="L108" s="379">
        <f t="shared" si="53"/>
        <v>10940.383800869789</v>
      </c>
      <c r="M108" s="380">
        <f t="shared" si="50"/>
        <v>0</v>
      </c>
      <c r="N108" s="379">
        <f t="shared" si="54"/>
        <v>10940.383800869789</v>
      </c>
      <c r="O108" s="54">
        <f t="shared" si="51"/>
        <v>0</v>
      </c>
      <c r="P108" s="54">
        <f t="shared" si="52"/>
        <v>0</v>
      </c>
    </row>
    <row r="109" spans="1:16" ht="12.5">
      <c r="B109" s="7" t="str">
        <f t="shared" si="47"/>
        <v/>
      </c>
      <c r="C109" s="50">
        <f>IF(D93="","-",+C108+1)</f>
        <v>2017</v>
      </c>
      <c r="D109" s="349">
        <v>69713</v>
      </c>
      <c r="E109" s="352">
        <v>1835</v>
      </c>
      <c r="F109" s="351">
        <v>67878</v>
      </c>
      <c r="G109" s="351">
        <v>68795.5</v>
      </c>
      <c r="H109" s="352">
        <v>10561.882642914878</v>
      </c>
      <c r="I109" s="353">
        <v>10561.882642914878</v>
      </c>
      <c r="J109" s="54">
        <f t="shared" si="43"/>
        <v>0</v>
      </c>
      <c r="K109" s="54"/>
      <c r="L109" s="379">
        <f t="shared" si="53"/>
        <v>10561.882642914878</v>
      </c>
      <c r="M109" s="380">
        <f t="shared" si="50"/>
        <v>0</v>
      </c>
      <c r="N109" s="379">
        <f t="shared" si="54"/>
        <v>10561.882642914878</v>
      </c>
      <c r="O109" s="54">
        <f t="shared" si="51"/>
        <v>0</v>
      </c>
      <c r="P109" s="54">
        <f t="shared" si="52"/>
        <v>0</v>
      </c>
    </row>
    <row r="110" spans="1:16" ht="12.5">
      <c r="B110" s="7" t="str">
        <f t="shared" si="47"/>
        <v/>
      </c>
      <c r="C110" s="50">
        <f>IF(D93="","-",+C109+1)</f>
        <v>2018</v>
      </c>
      <c r="D110" s="349">
        <v>67878</v>
      </c>
      <c r="E110" s="352">
        <v>1963</v>
      </c>
      <c r="F110" s="351">
        <v>65915</v>
      </c>
      <c r="G110" s="351">
        <v>66896.5</v>
      </c>
      <c r="H110" s="352">
        <v>8835.6498462369182</v>
      </c>
      <c r="I110" s="353">
        <v>8835.6498462369182</v>
      </c>
      <c r="J110" s="54">
        <f t="shared" si="43"/>
        <v>0</v>
      </c>
      <c r="K110" s="54"/>
      <c r="L110" s="379">
        <f t="shared" si="53"/>
        <v>8835.6498462369182</v>
      </c>
      <c r="M110" s="380">
        <f t="shared" ref="M110" si="55">IF(L110&lt;&gt;0,+H110-L110,0)</f>
        <v>0</v>
      </c>
      <c r="N110" s="379">
        <f t="shared" si="54"/>
        <v>8835.6498462369182</v>
      </c>
      <c r="O110" s="54">
        <f t="shared" ref="O110" si="56">IF(N110&lt;&gt;0,+I110-N110,0)</f>
        <v>0</v>
      </c>
      <c r="P110" s="54">
        <f t="shared" ref="P110" si="57">+O110-M110</f>
        <v>0</v>
      </c>
    </row>
    <row r="111" spans="1:16" ht="12.5">
      <c r="B111" s="7" t="str">
        <f t="shared" si="47"/>
        <v/>
      </c>
      <c r="C111" s="50">
        <f>IF(D93="","-",+C110+1)</f>
        <v>2019</v>
      </c>
      <c r="D111" s="349">
        <v>65915</v>
      </c>
      <c r="E111" s="352">
        <v>2059</v>
      </c>
      <c r="F111" s="351">
        <v>63856</v>
      </c>
      <c r="G111" s="351">
        <v>64885.5</v>
      </c>
      <c r="H111" s="352">
        <v>8749.6051392547379</v>
      </c>
      <c r="I111" s="353">
        <v>8749.6051392547379</v>
      </c>
      <c r="J111" s="54">
        <f t="shared" si="43"/>
        <v>0</v>
      </c>
      <c r="K111" s="54"/>
      <c r="L111" s="379">
        <f t="shared" si="53"/>
        <v>8749.6051392547379</v>
      </c>
      <c r="M111" s="380">
        <f t="shared" ref="M111:M112" si="58">IF(L111&lt;&gt;0,+H111-L111,0)</f>
        <v>0</v>
      </c>
      <c r="N111" s="379">
        <f t="shared" si="54"/>
        <v>8749.6051392547379</v>
      </c>
      <c r="O111" s="54">
        <f t="shared" si="45"/>
        <v>0</v>
      </c>
      <c r="P111" s="54">
        <f t="shared" si="46"/>
        <v>0</v>
      </c>
    </row>
    <row r="112" spans="1:16" ht="12.5">
      <c r="B112" s="7" t="str">
        <f t="shared" si="47"/>
        <v/>
      </c>
      <c r="C112" s="50">
        <f>IF(D93="","-",+C111+1)</f>
        <v>2020</v>
      </c>
      <c r="D112" s="349">
        <v>63856</v>
      </c>
      <c r="E112" s="352">
        <v>1963</v>
      </c>
      <c r="F112" s="351">
        <v>61893</v>
      </c>
      <c r="G112" s="351">
        <v>62874.5</v>
      </c>
      <c r="H112" s="352">
        <v>9212.2569908153564</v>
      </c>
      <c r="I112" s="353">
        <v>9212.2569908153564</v>
      </c>
      <c r="J112" s="54">
        <f t="shared" si="43"/>
        <v>0</v>
      </c>
      <c r="K112" s="54"/>
      <c r="L112" s="379">
        <f t="shared" si="53"/>
        <v>9212.2569908153564</v>
      </c>
      <c r="M112" s="380">
        <f t="shared" si="58"/>
        <v>0</v>
      </c>
      <c r="N112" s="379">
        <f t="shared" si="54"/>
        <v>9212.2569908153564</v>
      </c>
      <c r="O112" s="54">
        <f t="shared" si="45"/>
        <v>0</v>
      </c>
      <c r="P112" s="54">
        <f t="shared" si="46"/>
        <v>0</v>
      </c>
    </row>
    <row r="113" spans="2:16" ht="12.5">
      <c r="B113" s="7" t="str">
        <f t="shared" si="47"/>
        <v/>
      </c>
      <c r="C113" s="50">
        <f>IF(D93="","-",+C112+1)</f>
        <v>2021</v>
      </c>
      <c r="D113" s="349">
        <v>61893</v>
      </c>
      <c r="E113" s="352">
        <v>2059</v>
      </c>
      <c r="F113" s="351">
        <v>59834</v>
      </c>
      <c r="G113" s="351">
        <v>60863.5</v>
      </c>
      <c r="H113" s="352">
        <v>8984.8276586704978</v>
      </c>
      <c r="I113" s="353">
        <v>8984.8276586704978</v>
      </c>
      <c r="J113" s="54">
        <f t="shared" si="43"/>
        <v>0</v>
      </c>
      <c r="K113" s="54"/>
      <c r="L113" s="379">
        <f t="shared" ref="L113" si="59">H113</f>
        <v>8984.8276586704978</v>
      </c>
      <c r="M113" s="380">
        <f t="shared" ref="M113" si="60">IF(L113&lt;&gt;0,+H113-L113,0)</f>
        <v>0</v>
      </c>
      <c r="N113" s="379">
        <f t="shared" ref="N113" si="61">I113</f>
        <v>8984.8276586704978</v>
      </c>
      <c r="O113" s="54">
        <f t="shared" ref="O113" si="62">IF(N113&lt;&gt;0,+I113-N113,0)</f>
        <v>0</v>
      </c>
      <c r="P113" s="54">
        <f t="shared" ref="P113" si="63">+O113-M113</f>
        <v>0</v>
      </c>
    </row>
    <row r="114" spans="2:16" ht="12.5">
      <c r="B114" s="7" t="str">
        <f t="shared" si="47"/>
        <v/>
      </c>
      <c r="C114" s="450">
        <f>IF(D93="","-",+C113+1)</f>
        <v>2022</v>
      </c>
      <c r="D114" s="349">
        <v>59834</v>
      </c>
      <c r="E114" s="352">
        <v>2165</v>
      </c>
      <c r="F114" s="351">
        <v>57669</v>
      </c>
      <c r="G114" s="351">
        <v>58751.5</v>
      </c>
      <c r="H114" s="352">
        <v>8638.3961304237382</v>
      </c>
      <c r="I114" s="353">
        <v>8638.3961304237382</v>
      </c>
      <c r="J114" s="54">
        <f t="shared" si="43"/>
        <v>0</v>
      </c>
      <c r="K114" s="54"/>
      <c r="L114" s="379">
        <f t="shared" ref="L114:L115" si="64">H114</f>
        <v>8638.3961304237382</v>
      </c>
      <c r="M114" s="380">
        <f t="shared" ref="M114:M115" si="65">IF(L114&lt;&gt;0,+H114-L114,0)</f>
        <v>0</v>
      </c>
      <c r="N114" s="379">
        <f t="shared" ref="N114:N115" si="66">I114</f>
        <v>8638.3961304237382</v>
      </c>
      <c r="O114" s="54">
        <f t="shared" ref="O114:O115" si="67">IF(N114&lt;&gt;0,+I114-N114,0)</f>
        <v>0</v>
      </c>
      <c r="P114" s="54">
        <f t="shared" ref="P114:P115" si="68">+O114-M114</f>
        <v>0</v>
      </c>
    </row>
    <row r="115" spans="2:16" ht="12.5">
      <c r="B115" s="7" t="str">
        <f t="shared" si="47"/>
        <v/>
      </c>
      <c r="C115" s="50">
        <f>IF(D93="","-",+C114+1)</f>
        <v>2023</v>
      </c>
      <c r="D115" s="349">
        <v>57669</v>
      </c>
      <c r="E115" s="352">
        <v>2222</v>
      </c>
      <c r="F115" s="351">
        <v>55447</v>
      </c>
      <c r="G115" s="351">
        <v>56558</v>
      </c>
      <c r="H115" s="352">
        <v>8682.4536667105749</v>
      </c>
      <c r="I115" s="353">
        <v>8682.4536667105749</v>
      </c>
      <c r="J115" s="54">
        <f t="shared" si="43"/>
        <v>0</v>
      </c>
      <c r="K115" s="54"/>
      <c r="L115" s="379">
        <f t="shared" si="64"/>
        <v>8682.4536667105749</v>
      </c>
      <c r="M115" s="380">
        <f t="shared" si="65"/>
        <v>0</v>
      </c>
      <c r="N115" s="379">
        <f t="shared" si="66"/>
        <v>8682.4536667105749</v>
      </c>
      <c r="O115" s="54">
        <f t="shared" si="67"/>
        <v>0</v>
      </c>
      <c r="P115" s="54">
        <f t="shared" si="68"/>
        <v>0</v>
      </c>
    </row>
    <row r="116" spans="2:16" ht="12.5">
      <c r="B116" s="7" t="str">
        <f t="shared" si="47"/>
        <v/>
      </c>
      <c r="C116" s="50">
        <f>IF(D93="","-",+C115+1)</f>
        <v>2024</v>
      </c>
      <c r="D116" s="349">
        <v>55447</v>
      </c>
      <c r="E116" s="352">
        <v>2222</v>
      </c>
      <c r="F116" s="351">
        <v>53225</v>
      </c>
      <c r="G116" s="351">
        <v>54336</v>
      </c>
      <c r="H116" s="352">
        <v>9520.3414133763945</v>
      </c>
      <c r="I116" s="353">
        <v>9520.3414133763945</v>
      </c>
      <c r="J116" s="54">
        <f t="shared" si="43"/>
        <v>0</v>
      </c>
      <c r="K116" s="54"/>
      <c r="L116" s="379">
        <f t="shared" ref="L116" si="69">H116</f>
        <v>9520.3414133763945</v>
      </c>
      <c r="M116" s="380">
        <f t="shared" ref="M116" si="70">IF(L116&lt;&gt;0,+H116-L116,0)</f>
        <v>0</v>
      </c>
      <c r="N116" s="379">
        <f t="shared" ref="N116" si="71">I116</f>
        <v>9520.3414133763945</v>
      </c>
      <c r="O116" s="54">
        <f t="shared" ref="O116" si="72">IF(N116&lt;&gt;0,+I116-N116,0)</f>
        <v>0</v>
      </c>
      <c r="P116" s="54">
        <f t="shared" ref="P116" si="73">+O116-M116</f>
        <v>0</v>
      </c>
    </row>
    <row r="117" spans="2:16" ht="12.5">
      <c r="B117" s="7" t="str">
        <f t="shared" si="47"/>
        <v/>
      </c>
      <c r="C117" s="50">
        <f>IF(D93="","-",+C116+1)</f>
        <v>2025</v>
      </c>
      <c r="D117" s="12">
        <f>IF(F116+SUM(E$99:E116)=D$92,F116,D$92-SUM(E$99:E116))</f>
        <v>53225</v>
      </c>
      <c r="E117" s="355">
        <f>IF(+J96&lt;F116,J96,D117)</f>
        <v>2282</v>
      </c>
      <c r="F117" s="55">
        <f t="shared" ref="F117:F129" si="74">+D117-E117</f>
        <v>50943</v>
      </c>
      <c r="G117" s="55">
        <f t="shared" ref="G117:G129" si="75">+(F117+D117)/2</f>
        <v>52084</v>
      </c>
      <c r="H117" s="356">
        <f t="shared" ref="H117:H154" si="76">+J$94*G117+E117</f>
        <v>9277.8556790027978</v>
      </c>
      <c r="I117" s="381">
        <f t="shared" ref="I117:I154" si="77">+J$95*G117+E117</f>
        <v>9277.8556790027978</v>
      </c>
      <c r="J117" s="54">
        <f t="shared" si="43"/>
        <v>0</v>
      </c>
      <c r="K117" s="54"/>
      <c r="L117" s="115"/>
      <c r="M117" s="54">
        <f t="shared" si="44"/>
        <v>0</v>
      </c>
      <c r="N117" s="115"/>
      <c r="O117" s="54">
        <f t="shared" si="45"/>
        <v>0</v>
      </c>
      <c r="P117" s="54">
        <f t="shared" si="46"/>
        <v>0</v>
      </c>
    </row>
    <row r="118" spans="2:16" ht="12.5">
      <c r="B118" s="7" t="str">
        <f t="shared" si="47"/>
        <v/>
      </c>
      <c r="C118" s="50">
        <f>IF(D93="","-",+C117+1)</f>
        <v>2026</v>
      </c>
      <c r="D118" s="12">
        <f>IF(F117+SUM(E$99:E117)=D$92,F117,D$92-SUM(E$99:E117))</f>
        <v>50943</v>
      </c>
      <c r="E118" s="355">
        <f>IF(+J96&lt;F117,J96,D118)</f>
        <v>2282</v>
      </c>
      <c r="F118" s="55">
        <f t="shared" si="74"/>
        <v>48661</v>
      </c>
      <c r="G118" s="55">
        <f t="shared" si="75"/>
        <v>49802</v>
      </c>
      <c r="H118" s="356">
        <f t="shared" si="76"/>
        <v>8971.3403833364828</v>
      </c>
      <c r="I118" s="381">
        <f t="shared" si="77"/>
        <v>8971.3403833364828</v>
      </c>
      <c r="J118" s="54">
        <f t="shared" si="43"/>
        <v>0</v>
      </c>
      <c r="K118" s="54"/>
      <c r="L118" s="115"/>
      <c r="M118" s="54">
        <f t="shared" si="44"/>
        <v>0</v>
      </c>
      <c r="N118" s="115"/>
      <c r="O118" s="54">
        <f t="shared" si="45"/>
        <v>0</v>
      </c>
      <c r="P118" s="54">
        <f t="shared" si="46"/>
        <v>0</v>
      </c>
    </row>
    <row r="119" spans="2:16" ht="12.5">
      <c r="B119" s="7" t="str">
        <f t="shared" si="47"/>
        <v/>
      </c>
      <c r="C119" s="50">
        <f>IF(D93="","-",+C118+1)</f>
        <v>2027</v>
      </c>
      <c r="D119" s="12">
        <f>IF(F118+SUM(E$99:E118)=D$92,F118,D$92-SUM(E$99:E118))</f>
        <v>48661</v>
      </c>
      <c r="E119" s="355">
        <f>IF(+J96&lt;F118,J96,D119)</f>
        <v>2282</v>
      </c>
      <c r="F119" s="55">
        <f t="shared" si="74"/>
        <v>46379</v>
      </c>
      <c r="G119" s="55">
        <f t="shared" si="75"/>
        <v>47520</v>
      </c>
      <c r="H119" s="356">
        <f t="shared" si="76"/>
        <v>8664.8250876701677</v>
      </c>
      <c r="I119" s="381">
        <f t="shared" si="77"/>
        <v>8664.8250876701677</v>
      </c>
      <c r="J119" s="54">
        <f t="shared" si="43"/>
        <v>0</v>
      </c>
      <c r="K119" s="54"/>
      <c r="L119" s="115"/>
      <c r="M119" s="54">
        <f t="shared" si="44"/>
        <v>0</v>
      </c>
      <c r="N119" s="115"/>
      <c r="O119" s="54">
        <f t="shared" si="45"/>
        <v>0</v>
      </c>
      <c r="P119" s="54">
        <f t="shared" si="46"/>
        <v>0</v>
      </c>
    </row>
    <row r="120" spans="2:16" ht="12.5">
      <c r="B120" s="7" t="str">
        <f t="shared" si="47"/>
        <v/>
      </c>
      <c r="C120" s="50">
        <f>IF(D93="","-",+C119+1)</f>
        <v>2028</v>
      </c>
      <c r="D120" s="12">
        <f>IF(F119+SUM(E$99:E119)=D$92,F119,D$92-SUM(E$99:E119))</f>
        <v>46379</v>
      </c>
      <c r="E120" s="355">
        <f>IF(+J96&lt;F119,J96,D120)</f>
        <v>2282</v>
      </c>
      <c r="F120" s="55">
        <f t="shared" si="74"/>
        <v>44097</v>
      </c>
      <c r="G120" s="55">
        <f t="shared" si="75"/>
        <v>45238</v>
      </c>
      <c r="H120" s="356">
        <f t="shared" si="76"/>
        <v>8358.3097920038526</v>
      </c>
      <c r="I120" s="381">
        <f t="shared" si="77"/>
        <v>8358.3097920038526</v>
      </c>
      <c r="J120" s="54">
        <f t="shared" si="43"/>
        <v>0</v>
      </c>
      <c r="K120" s="54"/>
      <c r="L120" s="115"/>
      <c r="M120" s="54">
        <f t="shared" si="44"/>
        <v>0</v>
      </c>
      <c r="N120" s="115"/>
      <c r="O120" s="54">
        <f t="shared" si="45"/>
        <v>0</v>
      </c>
      <c r="P120" s="54">
        <f t="shared" si="46"/>
        <v>0</v>
      </c>
    </row>
    <row r="121" spans="2:16" ht="12.5">
      <c r="B121" s="7" t="str">
        <f t="shared" si="47"/>
        <v/>
      </c>
      <c r="C121" s="50">
        <f>IF(D93="","-",+C120+1)</f>
        <v>2029</v>
      </c>
      <c r="D121" s="12">
        <f>IF(F120+SUM(E$99:E120)=D$92,F120,D$92-SUM(E$99:E120))</f>
        <v>44097</v>
      </c>
      <c r="E121" s="355">
        <f>IF(+J96&lt;F120,J96,D121)</f>
        <v>2282</v>
      </c>
      <c r="F121" s="55">
        <f t="shared" si="74"/>
        <v>41815</v>
      </c>
      <c r="G121" s="55">
        <f t="shared" si="75"/>
        <v>42956</v>
      </c>
      <c r="H121" s="356">
        <f t="shared" si="76"/>
        <v>8051.7944963375357</v>
      </c>
      <c r="I121" s="381">
        <f t="shared" si="77"/>
        <v>8051.7944963375357</v>
      </c>
      <c r="J121" s="54">
        <f t="shared" si="43"/>
        <v>0</v>
      </c>
      <c r="K121" s="54"/>
      <c r="L121" s="115"/>
      <c r="M121" s="54">
        <f t="shared" si="44"/>
        <v>0</v>
      </c>
      <c r="N121" s="115"/>
      <c r="O121" s="54">
        <f t="shared" si="45"/>
        <v>0</v>
      </c>
      <c r="P121" s="54">
        <f t="shared" si="46"/>
        <v>0</v>
      </c>
    </row>
    <row r="122" spans="2:16" ht="12.5">
      <c r="B122" s="7" t="str">
        <f t="shared" si="47"/>
        <v/>
      </c>
      <c r="C122" s="50">
        <f>IF(D93="","-",+C121+1)</f>
        <v>2030</v>
      </c>
      <c r="D122" s="12">
        <f>IF(F121+SUM(E$99:E121)=D$92,F121,D$92-SUM(E$99:E121))</f>
        <v>41815</v>
      </c>
      <c r="E122" s="355">
        <f>IF(+J96&lt;F121,J96,D122)</f>
        <v>2282</v>
      </c>
      <c r="F122" s="55">
        <f t="shared" si="74"/>
        <v>39533</v>
      </c>
      <c r="G122" s="55">
        <f t="shared" si="75"/>
        <v>40674</v>
      </c>
      <c r="H122" s="356">
        <f t="shared" si="76"/>
        <v>7745.2792006712207</v>
      </c>
      <c r="I122" s="381">
        <f t="shared" si="77"/>
        <v>7745.2792006712207</v>
      </c>
      <c r="J122" s="54">
        <f t="shared" si="43"/>
        <v>0</v>
      </c>
      <c r="K122" s="54"/>
      <c r="L122" s="115"/>
      <c r="M122" s="54">
        <f t="shared" si="44"/>
        <v>0</v>
      </c>
      <c r="N122" s="115"/>
      <c r="O122" s="54">
        <f t="shared" si="45"/>
        <v>0</v>
      </c>
      <c r="P122" s="54">
        <f t="shared" si="46"/>
        <v>0</v>
      </c>
    </row>
    <row r="123" spans="2:16" ht="12.5">
      <c r="B123" s="7" t="str">
        <f t="shared" si="47"/>
        <v/>
      </c>
      <c r="C123" s="50">
        <f>IF(D93="","-",+C122+1)</f>
        <v>2031</v>
      </c>
      <c r="D123" s="12">
        <f>IF(F122+SUM(E$99:E122)=D$92,F122,D$92-SUM(E$99:E122))</f>
        <v>39533</v>
      </c>
      <c r="E123" s="355">
        <f>IF(+J96&lt;F122,J96,D123)</f>
        <v>2282</v>
      </c>
      <c r="F123" s="55">
        <f t="shared" si="74"/>
        <v>37251</v>
      </c>
      <c r="G123" s="55">
        <f t="shared" si="75"/>
        <v>38392</v>
      </c>
      <c r="H123" s="356">
        <f t="shared" si="76"/>
        <v>7438.7639050049047</v>
      </c>
      <c r="I123" s="381">
        <f t="shared" si="77"/>
        <v>7438.7639050049047</v>
      </c>
      <c r="J123" s="54">
        <f t="shared" si="43"/>
        <v>0</v>
      </c>
      <c r="K123" s="54"/>
      <c r="L123" s="115"/>
      <c r="M123" s="54">
        <f t="shared" si="44"/>
        <v>0</v>
      </c>
      <c r="N123" s="115"/>
      <c r="O123" s="54">
        <f t="shared" si="45"/>
        <v>0</v>
      </c>
      <c r="P123" s="54">
        <f t="shared" si="46"/>
        <v>0</v>
      </c>
    </row>
    <row r="124" spans="2:16" ht="12.5">
      <c r="B124" s="7" t="str">
        <f t="shared" si="47"/>
        <v/>
      </c>
      <c r="C124" s="50">
        <f>IF(D93="","-",+C123+1)</f>
        <v>2032</v>
      </c>
      <c r="D124" s="12">
        <f>IF(F123+SUM(E$99:E123)=D$92,F123,D$92-SUM(E$99:E123))</f>
        <v>37251</v>
      </c>
      <c r="E124" s="355">
        <f>IF(+J96&lt;F123,J96,D124)</f>
        <v>2282</v>
      </c>
      <c r="F124" s="55">
        <f t="shared" si="74"/>
        <v>34969</v>
      </c>
      <c r="G124" s="55">
        <f t="shared" si="75"/>
        <v>36110</v>
      </c>
      <c r="H124" s="356">
        <f t="shared" si="76"/>
        <v>7132.2486093385887</v>
      </c>
      <c r="I124" s="381">
        <f t="shared" si="77"/>
        <v>7132.2486093385887</v>
      </c>
      <c r="J124" s="54">
        <f t="shared" si="43"/>
        <v>0</v>
      </c>
      <c r="K124" s="54"/>
      <c r="L124" s="115"/>
      <c r="M124" s="54">
        <f t="shared" si="44"/>
        <v>0</v>
      </c>
      <c r="N124" s="115"/>
      <c r="O124" s="54">
        <f t="shared" si="45"/>
        <v>0</v>
      </c>
      <c r="P124" s="54">
        <f t="shared" si="46"/>
        <v>0</v>
      </c>
    </row>
    <row r="125" spans="2:16" ht="12.5">
      <c r="B125" s="7" t="str">
        <f t="shared" si="47"/>
        <v/>
      </c>
      <c r="C125" s="50">
        <f>IF(D93="","-",+C124+1)</f>
        <v>2033</v>
      </c>
      <c r="D125" s="12">
        <f>IF(F124+SUM(E$99:E124)=D$92,F124,D$92-SUM(E$99:E124))</f>
        <v>34969</v>
      </c>
      <c r="E125" s="355">
        <f>IF(+J96&lt;F124,J96,D125)</f>
        <v>2282</v>
      </c>
      <c r="F125" s="55">
        <f t="shared" si="74"/>
        <v>32687</v>
      </c>
      <c r="G125" s="55">
        <f t="shared" si="75"/>
        <v>33828</v>
      </c>
      <c r="H125" s="356">
        <f t="shared" si="76"/>
        <v>6825.7333136722737</v>
      </c>
      <c r="I125" s="381">
        <f t="shared" si="77"/>
        <v>6825.7333136722737</v>
      </c>
      <c r="J125" s="54">
        <f t="shared" si="43"/>
        <v>0</v>
      </c>
      <c r="K125" s="54"/>
      <c r="L125" s="115"/>
      <c r="M125" s="54">
        <f t="shared" si="44"/>
        <v>0</v>
      </c>
      <c r="N125" s="115"/>
      <c r="O125" s="54">
        <f t="shared" si="45"/>
        <v>0</v>
      </c>
      <c r="P125" s="54">
        <f t="shared" si="46"/>
        <v>0</v>
      </c>
    </row>
    <row r="126" spans="2:16" ht="12.5">
      <c r="B126" s="7" t="str">
        <f t="shared" si="47"/>
        <v/>
      </c>
      <c r="C126" s="50">
        <f>IF(D93="","-",+C125+1)</f>
        <v>2034</v>
      </c>
      <c r="D126" s="12">
        <f>IF(F125+SUM(E$99:E125)=D$92,F125,D$92-SUM(E$99:E125))</f>
        <v>32687</v>
      </c>
      <c r="E126" s="355">
        <f>IF(+J96&lt;F125,J96,D126)</f>
        <v>2282</v>
      </c>
      <c r="F126" s="55">
        <f t="shared" si="74"/>
        <v>30405</v>
      </c>
      <c r="G126" s="55">
        <f t="shared" si="75"/>
        <v>31546</v>
      </c>
      <c r="H126" s="356">
        <f t="shared" si="76"/>
        <v>6519.2180180059577</v>
      </c>
      <c r="I126" s="381">
        <f t="shared" si="77"/>
        <v>6519.2180180059577</v>
      </c>
      <c r="J126" s="54">
        <f t="shared" si="43"/>
        <v>0</v>
      </c>
      <c r="K126" s="54"/>
      <c r="L126" s="115"/>
      <c r="M126" s="54">
        <f t="shared" si="44"/>
        <v>0</v>
      </c>
      <c r="N126" s="115"/>
      <c r="O126" s="54">
        <f t="shared" si="45"/>
        <v>0</v>
      </c>
      <c r="P126" s="54">
        <f t="shared" si="46"/>
        <v>0</v>
      </c>
    </row>
    <row r="127" spans="2:16" ht="12.5">
      <c r="B127" s="7" t="str">
        <f t="shared" si="47"/>
        <v/>
      </c>
      <c r="C127" s="50">
        <f>IF(D93="","-",+C126+1)</f>
        <v>2035</v>
      </c>
      <c r="D127" s="12">
        <f>IF(F126+SUM(E$99:E126)=D$92,F126,D$92-SUM(E$99:E126))</f>
        <v>30405</v>
      </c>
      <c r="E127" s="355">
        <f>IF(+J96&lt;F126,J96,D127)</f>
        <v>2282</v>
      </c>
      <c r="F127" s="55">
        <f t="shared" si="74"/>
        <v>28123</v>
      </c>
      <c r="G127" s="55">
        <f t="shared" si="75"/>
        <v>29264</v>
      </c>
      <c r="H127" s="356">
        <f t="shared" si="76"/>
        <v>6212.7027223396417</v>
      </c>
      <c r="I127" s="381">
        <f t="shared" si="77"/>
        <v>6212.7027223396417</v>
      </c>
      <c r="J127" s="54">
        <f t="shared" si="43"/>
        <v>0</v>
      </c>
      <c r="K127" s="54"/>
      <c r="L127" s="115"/>
      <c r="M127" s="54">
        <f t="shared" si="44"/>
        <v>0</v>
      </c>
      <c r="N127" s="115"/>
      <c r="O127" s="54">
        <f t="shared" si="45"/>
        <v>0</v>
      </c>
      <c r="P127" s="54">
        <f t="shared" si="46"/>
        <v>0</v>
      </c>
    </row>
    <row r="128" spans="2:16" ht="12.5">
      <c r="B128" s="7" t="str">
        <f t="shared" si="47"/>
        <v/>
      </c>
      <c r="C128" s="50">
        <f>IF(D93="","-",+C127+1)</f>
        <v>2036</v>
      </c>
      <c r="D128" s="12">
        <f>IF(F127+SUM(E$99:E127)=D$92,F127,D$92-SUM(E$99:E127))</f>
        <v>28123</v>
      </c>
      <c r="E128" s="355">
        <f>IF(+J96&lt;F127,J96,D128)</f>
        <v>2282</v>
      </c>
      <c r="F128" s="55">
        <f t="shared" si="74"/>
        <v>25841</v>
      </c>
      <c r="G128" s="55">
        <f t="shared" si="75"/>
        <v>26982</v>
      </c>
      <c r="H128" s="356">
        <f t="shared" si="76"/>
        <v>5906.1874266733266</v>
      </c>
      <c r="I128" s="381">
        <f t="shared" si="77"/>
        <v>5906.1874266733266</v>
      </c>
      <c r="J128" s="54">
        <f t="shared" si="43"/>
        <v>0</v>
      </c>
      <c r="K128" s="54"/>
      <c r="L128" s="115"/>
      <c r="M128" s="54">
        <f t="shared" si="44"/>
        <v>0</v>
      </c>
      <c r="N128" s="115"/>
      <c r="O128" s="54">
        <f t="shared" si="45"/>
        <v>0</v>
      </c>
      <c r="P128" s="54">
        <f t="shared" si="46"/>
        <v>0</v>
      </c>
    </row>
    <row r="129" spans="2:16" ht="12.5">
      <c r="B129" s="7" t="str">
        <f t="shared" si="47"/>
        <v/>
      </c>
      <c r="C129" s="50">
        <f>IF(D93="","-",+C128+1)</f>
        <v>2037</v>
      </c>
      <c r="D129" s="12">
        <f>IF(F128+SUM(E$99:E128)=D$92,F128,D$92-SUM(E$99:E128))</f>
        <v>25841</v>
      </c>
      <c r="E129" s="355">
        <f>IF(+J96&lt;F128,J96,D129)</f>
        <v>2282</v>
      </c>
      <c r="F129" s="55">
        <f t="shared" si="74"/>
        <v>23559</v>
      </c>
      <c r="G129" s="55">
        <f t="shared" si="75"/>
        <v>24700</v>
      </c>
      <c r="H129" s="356">
        <f t="shared" si="76"/>
        <v>5599.6721310070097</v>
      </c>
      <c r="I129" s="381">
        <f t="shared" si="77"/>
        <v>5599.6721310070097</v>
      </c>
      <c r="J129" s="54">
        <f t="shared" si="43"/>
        <v>0</v>
      </c>
      <c r="K129" s="54"/>
      <c r="L129" s="115"/>
      <c r="M129" s="54">
        <f t="shared" si="44"/>
        <v>0</v>
      </c>
      <c r="N129" s="115"/>
      <c r="O129" s="54">
        <f t="shared" si="45"/>
        <v>0</v>
      </c>
      <c r="P129" s="54">
        <f t="shared" si="46"/>
        <v>0</v>
      </c>
    </row>
    <row r="130" spans="2:16" ht="12.5">
      <c r="B130" s="7" t="str">
        <f t="shared" si="47"/>
        <v/>
      </c>
      <c r="C130" s="50">
        <f>IF(D93="","-",+C129+1)</f>
        <v>2038</v>
      </c>
      <c r="D130" s="12">
        <f>IF(F129+SUM(E$99:E129)=D$92,F129,D$92-SUM(E$99:E129))</f>
        <v>23559</v>
      </c>
      <c r="E130" s="355">
        <f>IF(+J96&lt;F129,J96,D130)</f>
        <v>2282</v>
      </c>
      <c r="F130" s="55">
        <f t="shared" ref="F130:F153" si="78">+D130-E130</f>
        <v>21277</v>
      </c>
      <c r="G130" s="55">
        <f t="shared" ref="G130:G153" si="79">+(F130+D130)/2</f>
        <v>22418</v>
      </c>
      <c r="H130" s="356">
        <f t="shared" si="76"/>
        <v>5293.1568353406947</v>
      </c>
      <c r="I130" s="381">
        <f t="shared" si="77"/>
        <v>5293.1568353406947</v>
      </c>
      <c r="J130" s="54">
        <f t="shared" si="43"/>
        <v>0</v>
      </c>
      <c r="K130" s="54"/>
      <c r="L130" s="115"/>
      <c r="M130" s="54">
        <f t="shared" si="44"/>
        <v>0</v>
      </c>
      <c r="N130" s="115"/>
      <c r="O130" s="54">
        <f t="shared" si="45"/>
        <v>0</v>
      </c>
      <c r="P130" s="54">
        <f t="shared" si="46"/>
        <v>0</v>
      </c>
    </row>
    <row r="131" spans="2:16" ht="12.5">
      <c r="B131" s="7" t="str">
        <f t="shared" si="47"/>
        <v/>
      </c>
      <c r="C131" s="50">
        <f>IF(D93="","-",+C130+1)</f>
        <v>2039</v>
      </c>
      <c r="D131" s="12">
        <f>IF(F130+SUM(E$99:E130)=D$92,F130,D$92-SUM(E$99:E130))</f>
        <v>21277</v>
      </c>
      <c r="E131" s="355">
        <f>IF(+J96&lt;F130,J96,D131)</f>
        <v>2282</v>
      </c>
      <c r="F131" s="55">
        <f t="shared" si="78"/>
        <v>18995</v>
      </c>
      <c r="G131" s="55">
        <f t="shared" si="79"/>
        <v>20136</v>
      </c>
      <c r="H131" s="356">
        <f t="shared" si="76"/>
        <v>4986.6415396743796</v>
      </c>
      <c r="I131" s="381">
        <f t="shared" si="77"/>
        <v>4986.6415396743796</v>
      </c>
      <c r="J131" s="54">
        <f t="shared" ref="J131:J154" si="80">+I381-H381</f>
        <v>0</v>
      </c>
      <c r="K131" s="54"/>
      <c r="L131" s="115"/>
      <c r="M131" s="54">
        <f t="shared" ref="M131:M154" si="81">IF(L381&lt;&gt;0,+H381-L381,0)</f>
        <v>0</v>
      </c>
      <c r="N131" s="115"/>
      <c r="O131" s="54">
        <f t="shared" ref="O131:O154" si="82">IF(N381&lt;&gt;0,+I381-N381,0)</f>
        <v>0</v>
      </c>
      <c r="P131" s="54">
        <f t="shared" ref="P131:P154" si="83">+O381-M381</f>
        <v>0</v>
      </c>
    </row>
    <row r="132" spans="2:16" ht="12.5">
      <c r="B132" s="7" t="str">
        <f t="shared" si="47"/>
        <v/>
      </c>
      <c r="C132" s="50">
        <f>IF(D93="","-",+C131+1)</f>
        <v>2040</v>
      </c>
      <c r="D132" s="12">
        <f>IF(F131+SUM(E$99:E131)=D$92,F131,D$92-SUM(E$99:E131))</f>
        <v>18995</v>
      </c>
      <c r="E132" s="355">
        <f>IF(+J96&lt;F131,J96,D132)</f>
        <v>2282</v>
      </c>
      <c r="F132" s="55">
        <f t="shared" si="78"/>
        <v>16713</v>
      </c>
      <c r="G132" s="55">
        <f t="shared" si="79"/>
        <v>17854</v>
      </c>
      <c r="H132" s="356">
        <f t="shared" si="76"/>
        <v>4680.1262440080627</v>
      </c>
      <c r="I132" s="381">
        <f t="shared" si="77"/>
        <v>4680.1262440080627</v>
      </c>
      <c r="J132" s="54">
        <f t="shared" si="80"/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 ht="12.5">
      <c r="B133" s="7" t="str">
        <f t="shared" si="47"/>
        <v/>
      </c>
      <c r="C133" s="50">
        <f>IF(D93="","-",+C132+1)</f>
        <v>2041</v>
      </c>
      <c r="D133" s="12">
        <f>IF(F132+SUM(E$99:E132)=D$92,F132,D$92-SUM(E$99:E132))</f>
        <v>16713</v>
      </c>
      <c r="E133" s="355">
        <f>IF(+J96&lt;F132,J96,D133)</f>
        <v>2282</v>
      </c>
      <c r="F133" s="55">
        <f t="shared" si="78"/>
        <v>14431</v>
      </c>
      <c r="G133" s="55">
        <f t="shared" si="79"/>
        <v>15572</v>
      </c>
      <c r="H133" s="356">
        <f t="shared" si="76"/>
        <v>4373.6109483417476</v>
      </c>
      <c r="I133" s="381">
        <f t="shared" si="77"/>
        <v>4373.6109483417476</v>
      </c>
      <c r="J133" s="54">
        <f t="shared" si="80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 ht="12.5">
      <c r="B134" s="7" t="str">
        <f t="shared" si="47"/>
        <v/>
      </c>
      <c r="C134" s="50">
        <f>IF(D93="","-",+C133+1)</f>
        <v>2042</v>
      </c>
      <c r="D134" s="12">
        <f>IF(F133+SUM(E$99:E133)=D$92,F133,D$92-SUM(E$99:E133))</f>
        <v>14431</v>
      </c>
      <c r="E134" s="355">
        <f>IF(+J96&lt;F133,J96,D134)</f>
        <v>2282</v>
      </c>
      <c r="F134" s="55">
        <f t="shared" si="78"/>
        <v>12149</v>
      </c>
      <c r="G134" s="55">
        <f t="shared" si="79"/>
        <v>13290</v>
      </c>
      <c r="H134" s="356">
        <f t="shared" si="76"/>
        <v>4067.0956526754317</v>
      </c>
      <c r="I134" s="381">
        <f t="shared" si="77"/>
        <v>4067.0956526754317</v>
      </c>
      <c r="J134" s="54">
        <f t="shared" si="80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 ht="12.5">
      <c r="B135" s="7" t="str">
        <f t="shared" si="47"/>
        <v/>
      </c>
      <c r="C135" s="50">
        <f>IF(D93="","-",+C134+1)</f>
        <v>2043</v>
      </c>
      <c r="D135" s="12">
        <f>IF(F134+SUM(E$99:E134)=D$92,F134,D$92-SUM(E$99:E134))</f>
        <v>12149</v>
      </c>
      <c r="E135" s="355">
        <f>IF(+J96&lt;F134,J96,D135)</f>
        <v>2282</v>
      </c>
      <c r="F135" s="55">
        <f t="shared" si="78"/>
        <v>9867</v>
      </c>
      <c r="G135" s="55">
        <f t="shared" si="79"/>
        <v>11008</v>
      </c>
      <c r="H135" s="356">
        <f t="shared" si="76"/>
        <v>3760.5803570091161</v>
      </c>
      <c r="I135" s="381">
        <f t="shared" si="77"/>
        <v>3760.5803570091161</v>
      </c>
      <c r="J135" s="54">
        <f t="shared" si="80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 ht="12.5">
      <c r="B136" s="7" t="str">
        <f t="shared" si="47"/>
        <v/>
      </c>
      <c r="C136" s="50">
        <f>IF(D93="","-",+C135+1)</f>
        <v>2044</v>
      </c>
      <c r="D136" s="12">
        <f>IF(F135+SUM(E$99:E135)=D$92,F135,D$92-SUM(E$99:E135))</f>
        <v>9867</v>
      </c>
      <c r="E136" s="355">
        <f>IF(+J96&lt;F135,J96,D136)</f>
        <v>2282</v>
      </c>
      <c r="F136" s="55">
        <f t="shared" si="78"/>
        <v>7585</v>
      </c>
      <c r="G136" s="55">
        <f t="shared" si="79"/>
        <v>8726</v>
      </c>
      <c r="H136" s="356">
        <f t="shared" si="76"/>
        <v>3454.0650613428006</v>
      </c>
      <c r="I136" s="381">
        <f t="shared" si="77"/>
        <v>3454.0650613428006</v>
      </c>
      <c r="J136" s="54">
        <f t="shared" si="80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 ht="12.5">
      <c r="B137" s="7" t="str">
        <f t="shared" si="47"/>
        <v/>
      </c>
      <c r="C137" s="50">
        <f>IF(D93="","-",+C136+1)</f>
        <v>2045</v>
      </c>
      <c r="D137" s="12">
        <f>IF(F136+SUM(E$99:E136)=D$92,F136,D$92-SUM(E$99:E136))</f>
        <v>7585</v>
      </c>
      <c r="E137" s="355">
        <f>IF(+J96&lt;F136,J96,D137)</f>
        <v>2282</v>
      </c>
      <c r="F137" s="55">
        <f t="shared" si="78"/>
        <v>5303</v>
      </c>
      <c r="G137" s="55">
        <f t="shared" si="79"/>
        <v>6444</v>
      </c>
      <c r="H137" s="356">
        <f t="shared" si="76"/>
        <v>3147.5497656764846</v>
      </c>
      <c r="I137" s="381">
        <f t="shared" si="77"/>
        <v>3147.5497656764846</v>
      </c>
      <c r="J137" s="54">
        <f t="shared" si="80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 ht="12.5">
      <c r="B138" s="7" t="str">
        <f t="shared" si="47"/>
        <v/>
      </c>
      <c r="C138" s="50">
        <f>IF(D93="","-",+C137+1)</f>
        <v>2046</v>
      </c>
      <c r="D138" s="12">
        <f>IF(F137+SUM(E$99:E137)=D$92,F137,D$92-SUM(E$99:E137))</f>
        <v>5303</v>
      </c>
      <c r="E138" s="355">
        <f>IF(+J96&lt;F137,J96,D138)</f>
        <v>2282</v>
      </c>
      <c r="F138" s="55">
        <f t="shared" si="78"/>
        <v>3021</v>
      </c>
      <c r="G138" s="55">
        <f t="shared" si="79"/>
        <v>4162</v>
      </c>
      <c r="H138" s="356">
        <f t="shared" si="76"/>
        <v>2841.0344700101691</v>
      </c>
      <c r="I138" s="381">
        <f t="shared" si="77"/>
        <v>2841.0344700101691</v>
      </c>
      <c r="J138" s="54">
        <f t="shared" si="80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 ht="12.5">
      <c r="B139" s="7" t="str">
        <f t="shared" si="47"/>
        <v/>
      </c>
      <c r="C139" s="50">
        <f>IF(D93="","-",+C138+1)</f>
        <v>2047</v>
      </c>
      <c r="D139" s="12">
        <f>IF(F138+SUM(E$99:E138)=D$92,F138,D$92-SUM(E$99:E138))</f>
        <v>3021</v>
      </c>
      <c r="E139" s="355">
        <f>IF(+J96&lt;F138,J96,D139)</f>
        <v>2282</v>
      </c>
      <c r="F139" s="55">
        <f t="shared" si="78"/>
        <v>739</v>
      </c>
      <c r="G139" s="55">
        <f t="shared" si="79"/>
        <v>1880</v>
      </c>
      <c r="H139" s="356">
        <f t="shared" si="76"/>
        <v>2534.5191743438536</v>
      </c>
      <c r="I139" s="381">
        <f t="shared" si="77"/>
        <v>2534.5191743438536</v>
      </c>
      <c r="J139" s="54">
        <f t="shared" si="80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 ht="12.5">
      <c r="B140" s="7" t="str">
        <f t="shared" si="47"/>
        <v/>
      </c>
      <c r="C140" s="50">
        <f>IF(D93="","-",+C139+1)</f>
        <v>2048</v>
      </c>
      <c r="D140" s="12">
        <f>IF(F139+SUM(E$99:E139)=D$92,F139,D$92-SUM(E$99:E139))</f>
        <v>739</v>
      </c>
      <c r="E140" s="355">
        <f>IF(+J96&lt;F139,J96,D140)</f>
        <v>739</v>
      </c>
      <c r="F140" s="55">
        <f t="shared" si="78"/>
        <v>0</v>
      </c>
      <c r="G140" s="55">
        <f t="shared" si="79"/>
        <v>369.5</v>
      </c>
      <c r="H140" s="356">
        <f t="shared" si="76"/>
        <v>788.6307632553478</v>
      </c>
      <c r="I140" s="381">
        <f t="shared" si="77"/>
        <v>788.6307632553478</v>
      </c>
      <c r="J140" s="54">
        <f t="shared" si="80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 ht="12.5">
      <c r="B141" s="7" t="str">
        <f t="shared" si="47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8"/>
        <v>0</v>
      </c>
      <c r="G141" s="55">
        <f t="shared" si="79"/>
        <v>0</v>
      </c>
      <c r="H141" s="356">
        <f t="shared" si="76"/>
        <v>0</v>
      </c>
      <c r="I141" s="381">
        <f t="shared" si="77"/>
        <v>0</v>
      </c>
      <c r="J141" s="54">
        <f t="shared" si="80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 ht="12.5">
      <c r="B142" s="7" t="str">
        <f t="shared" si="47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8"/>
        <v>0</v>
      </c>
      <c r="G142" s="55">
        <f t="shared" si="79"/>
        <v>0</v>
      </c>
      <c r="H142" s="356">
        <f t="shared" si="76"/>
        <v>0</v>
      </c>
      <c r="I142" s="381">
        <f t="shared" si="77"/>
        <v>0</v>
      </c>
      <c r="J142" s="54">
        <f t="shared" si="80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 ht="12.5">
      <c r="B143" s="7" t="str">
        <f t="shared" si="47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8"/>
        <v>0</v>
      </c>
      <c r="G143" s="55">
        <f t="shared" si="79"/>
        <v>0</v>
      </c>
      <c r="H143" s="356">
        <f t="shared" si="76"/>
        <v>0</v>
      </c>
      <c r="I143" s="381">
        <f t="shared" si="77"/>
        <v>0</v>
      </c>
      <c r="J143" s="54">
        <f t="shared" si="80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 ht="12.5">
      <c r="B144" s="7" t="str">
        <f t="shared" si="47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8"/>
        <v>0</v>
      </c>
      <c r="G144" s="55">
        <f t="shared" si="79"/>
        <v>0</v>
      </c>
      <c r="H144" s="356">
        <f t="shared" si="76"/>
        <v>0</v>
      </c>
      <c r="I144" s="381">
        <f t="shared" si="77"/>
        <v>0</v>
      </c>
      <c r="J144" s="54">
        <f t="shared" si="80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 ht="12.5">
      <c r="B145" s="7" t="str">
        <f t="shared" si="47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8"/>
        <v>0</v>
      </c>
      <c r="G145" s="55">
        <f t="shared" si="79"/>
        <v>0</v>
      </c>
      <c r="H145" s="356">
        <f t="shared" si="76"/>
        <v>0</v>
      </c>
      <c r="I145" s="381">
        <f t="shared" si="77"/>
        <v>0</v>
      </c>
      <c r="J145" s="54">
        <f t="shared" si="80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 ht="12.5">
      <c r="B146" s="7" t="str">
        <f t="shared" si="47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8"/>
        <v>0</v>
      </c>
      <c r="G146" s="55">
        <f t="shared" si="79"/>
        <v>0</v>
      </c>
      <c r="H146" s="356">
        <f t="shared" si="76"/>
        <v>0</v>
      </c>
      <c r="I146" s="381">
        <f t="shared" si="77"/>
        <v>0</v>
      </c>
      <c r="J146" s="54">
        <f t="shared" si="80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 ht="12.5">
      <c r="B147" s="7" t="str">
        <f t="shared" si="47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8"/>
        <v>0</v>
      </c>
      <c r="G147" s="55">
        <f t="shared" si="79"/>
        <v>0</v>
      </c>
      <c r="H147" s="356">
        <f t="shared" si="76"/>
        <v>0</v>
      </c>
      <c r="I147" s="381">
        <f t="shared" si="77"/>
        <v>0</v>
      </c>
      <c r="J147" s="54">
        <f t="shared" si="80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 ht="12.5">
      <c r="B148" s="7" t="str">
        <f t="shared" si="47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8"/>
        <v>0</v>
      </c>
      <c r="G148" s="55">
        <f t="shared" si="79"/>
        <v>0</v>
      </c>
      <c r="H148" s="356">
        <f t="shared" si="76"/>
        <v>0</v>
      </c>
      <c r="I148" s="381">
        <f t="shared" si="77"/>
        <v>0</v>
      </c>
      <c r="J148" s="54">
        <f t="shared" si="80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 ht="12.5">
      <c r="B149" s="7" t="str">
        <f t="shared" si="47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8"/>
        <v>0</v>
      </c>
      <c r="G149" s="55">
        <f t="shared" si="79"/>
        <v>0</v>
      </c>
      <c r="H149" s="356">
        <f t="shared" si="76"/>
        <v>0</v>
      </c>
      <c r="I149" s="381">
        <f t="shared" si="77"/>
        <v>0</v>
      </c>
      <c r="J149" s="54">
        <f t="shared" si="80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 ht="12.5">
      <c r="B150" s="7" t="str">
        <f t="shared" si="47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8"/>
        <v>0</v>
      </c>
      <c r="G150" s="55">
        <f t="shared" si="79"/>
        <v>0</v>
      </c>
      <c r="H150" s="356">
        <f t="shared" si="76"/>
        <v>0</v>
      </c>
      <c r="I150" s="381">
        <f t="shared" si="77"/>
        <v>0</v>
      </c>
      <c r="J150" s="54">
        <f t="shared" si="80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 ht="12.5">
      <c r="B151" s="7" t="str">
        <f t="shared" si="47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8"/>
        <v>0</v>
      </c>
      <c r="G151" s="55">
        <f t="shared" si="79"/>
        <v>0</v>
      </c>
      <c r="H151" s="356">
        <f t="shared" si="76"/>
        <v>0</v>
      </c>
      <c r="I151" s="381">
        <f t="shared" si="77"/>
        <v>0</v>
      </c>
      <c r="J151" s="54">
        <f t="shared" si="80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 ht="12.5">
      <c r="B152" s="7" t="str">
        <f t="shared" si="47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8"/>
        <v>0</v>
      </c>
      <c r="G152" s="55">
        <f t="shared" si="79"/>
        <v>0</v>
      </c>
      <c r="H152" s="356">
        <f t="shared" si="76"/>
        <v>0</v>
      </c>
      <c r="I152" s="381">
        <f t="shared" si="77"/>
        <v>0</v>
      </c>
      <c r="J152" s="54">
        <f t="shared" si="80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 ht="12.5">
      <c r="B153" s="7" t="str">
        <f t="shared" si="47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8"/>
        <v>0</v>
      </c>
      <c r="G153" s="55">
        <f t="shared" si="79"/>
        <v>0</v>
      </c>
      <c r="H153" s="356">
        <f t="shared" si="76"/>
        <v>0</v>
      </c>
      <c r="I153" s="381">
        <f t="shared" si="77"/>
        <v>0</v>
      </c>
      <c r="J153" s="54">
        <f t="shared" si="80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" thickBot="1">
      <c r="B154" s="7" t="str">
        <f t="shared" si="47"/>
        <v/>
      </c>
      <c r="C154" s="58">
        <f>IF(D93="","-",+C153+1)</f>
        <v>2062</v>
      </c>
      <c r="D154" s="82">
        <f>IF(F153+SUM(E$99:E153)=D$92,F153,D$92-SUM(E$99:E153))</f>
        <v>0</v>
      </c>
      <c r="E154" s="382">
        <f>IF(+J96&lt;F153,J96,D154)</f>
        <v>0</v>
      </c>
      <c r="F154" s="59">
        <f>+D154-E154</f>
        <v>0</v>
      </c>
      <c r="G154" s="59">
        <f>+(F154+D154)/2</f>
        <v>0</v>
      </c>
      <c r="H154" s="358">
        <f t="shared" si="76"/>
        <v>0</v>
      </c>
      <c r="I154" s="383">
        <f t="shared" si="77"/>
        <v>0</v>
      </c>
      <c r="J154" s="62">
        <f t="shared" si="80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 ht="12.5">
      <c r="C155" s="12" t="s">
        <v>77</v>
      </c>
      <c r="D155" s="267"/>
      <c r="E155" s="267">
        <f>SUM(E99:E154)</f>
        <v>84424</v>
      </c>
      <c r="F155" s="267"/>
      <c r="G155" s="267"/>
      <c r="H155" s="267">
        <f>SUM(H99:H154)</f>
        <v>325155.12571072328</v>
      </c>
      <c r="I155" s="267">
        <f>SUM(I99:I154)</f>
        <v>325155.12571072328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>
    <tabColor rgb="FFC00000"/>
  </sheetPr>
  <dimension ref="A1:V162"/>
  <sheetViews>
    <sheetView topLeftCell="A142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8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5134.7818637532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5134.7818637532</v>
      </c>
      <c r="O6" s="1"/>
      <c r="P6" s="1"/>
    </row>
    <row r="7" spans="1:16" ht="13.5" thickBot="1">
      <c r="C7" s="26" t="s">
        <v>46</v>
      </c>
      <c r="D7" s="332" t="s">
        <v>215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87</v>
      </c>
      <c r="E9" s="404" t="s">
        <v>347</v>
      </c>
      <c r="F9" s="32"/>
      <c r="G9" s="452" t="s">
        <v>394</v>
      </c>
      <c r="H9" s="32"/>
      <c r="I9" s="33"/>
      <c r="J9" s="34"/>
      <c r="P9" s="1"/>
    </row>
    <row r="10" spans="1:16" ht="13">
      <c r="C10" s="128" t="s">
        <v>226</v>
      </c>
      <c r="D10" s="336">
        <v>56133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3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1477.1842105263158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2006</v>
      </c>
      <c r="D17" s="349">
        <v>56133</v>
      </c>
      <c r="E17" s="350">
        <v>752</v>
      </c>
      <c r="F17" s="349">
        <v>55381</v>
      </c>
      <c r="G17" s="350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2007</v>
      </c>
      <c r="D18" s="351">
        <v>55381</v>
      </c>
      <c r="E18" s="352">
        <v>1002</v>
      </c>
      <c r="F18" s="351">
        <v>54379</v>
      </c>
      <c r="G18" s="352">
        <v>0</v>
      </c>
      <c r="H18" s="353">
        <v>0</v>
      </c>
      <c r="I18" s="52">
        <f t="shared" si="0"/>
        <v>0</v>
      </c>
      <c r="J18" s="52"/>
      <c r="K18" s="324">
        <v>0</v>
      </c>
      <c r="L18" s="54">
        <f t="shared" si="1"/>
        <v>0</v>
      </c>
      <c r="M18" s="324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2008</v>
      </c>
      <c r="D19" s="351">
        <v>54379</v>
      </c>
      <c r="E19" s="352">
        <v>1002</v>
      </c>
      <c r="F19" s="351">
        <v>53377</v>
      </c>
      <c r="G19" s="352">
        <v>0</v>
      </c>
      <c r="H19" s="353">
        <v>0</v>
      </c>
      <c r="I19" s="52">
        <f t="shared" si="0"/>
        <v>0</v>
      </c>
      <c r="J19" s="52"/>
      <c r="K19" s="324">
        <v>0</v>
      </c>
      <c r="L19" s="54">
        <f t="shared" si="1"/>
        <v>0</v>
      </c>
      <c r="M19" s="324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2009</v>
      </c>
      <c r="D20" s="351">
        <v>53377</v>
      </c>
      <c r="E20" s="352">
        <v>1002</v>
      </c>
      <c r="F20" s="351">
        <v>52375</v>
      </c>
      <c r="G20" s="352">
        <v>0</v>
      </c>
      <c r="H20" s="353">
        <v>0</v>
      </c>
      <c r="I20" s="52">
        <f t="shared" si="0"/>
        <v>0</v>
      </c>
      <c r="J20" s="52"/>
      <c r="K20" s="324">
        <v>0</v>
      </c>
      <c r="L20" s="54">
        <f t="shared" si="1"/>
        <v>0</v>
      </c>
      <c r="M20" s="324">
        <v>0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2010</v>
      </c>
      <c r="D21" s="351">
        <v>52375</v>
      </c>
      <c r="E21" s="352">
        <v>1002.375</v>
      </c>
      <c r="F21" s="351">
        <v>51372.625</v>
      </c>
      <c r="G21" s="352">
        <v>8415.2657154769768</v>
      </c>
      <c r="H21" s="353">
        <v>8415.2657154769768</v>
      </c>
      <c r="I21" s="52">
        <f t="shared" si="0"/>
        <v>0</v>
      </c>
      <c r="J21" s="52"/>
      <c r="K21" s="324">
        <f t="shared" ref="K21:K26" si="5">G21</f>
        <v>8415.2657154769768</v>
      </c>
      <c r="L21" s="54">
        <f t="shared" si="1"/>
        <v>0</v>
      </c>
      <c r="M21" s="324">
        <f t="shared" ref="M21:M26" si="6">H21</f>
        <v>8415.2657154769768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2011</v>
      </c>
      <c r="D22" s="351">
        <v>51372.625</v>
      </c>
      <c r="E22" s="352">
        <v>1100.6470588235295</v>
      </c>
      <c r="F22" s="351">
        <v>50271.977941176468</v>
      </c>
      <c r="G22" s="352">
        <v>8970.3904929935452</v>
      </c>
      <c r="H22" s="353">
        <v>8970.3904929935452</v>
      </c>
      <c r="I22" s="52">
        <f t="shared" si="0"/>
        <v>0</v>
      </c>
      <c r="J22" s="52"/>
      <c r="K22" s="324">
        <f t="shared" si="5"/>
        <v>8970.3904929935452</v>
      </c>
      <c r="L22" s="54">
        <f t="shared" si="1"/>
        <v>0</v>
      </c>
      <c r="M22" s="324">
        <f t="shared" si="6"/>
        <v>8970.3904929935452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2012</v>
      </c>
      <c r="D23" s="351">
        <v>50271.977941176468</v>
      </c>
      <c r="E23" s="352">
        <v>1079.4807692307693</v>
      </c>
      <c r="F23" s="351">
        <v>49192.497171945703</v>
      </c>
      <c r="G23" s="352">
        <v>7927.4076335998161</v>
      </c>
      <c r="H23" s="353">
        <v>7927.4076335998161</v>
      </c>
      <c r="I23" s="52">
        <f t="shared" si="0"/>
        <v>0</v>
      </c>
      <c r="J23" s="52"/>
      <c r="K23" s="324">
        <f t="shared" si="5"/>
        <v>7927.4076335998161</v>
      </c>
      <c r="L23" s="54">
        <f t="shared" si="1"/>
        <v>0</v>
      </c>
      <c r="M23" s="324">
        <f t="shared" si="6"/>
        <v>7927.4076335998161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2013</v>
      </c>
      <c r="D24" s="351">
        <v>49192.497171945703</v>
      </c>
      <c r="E24" s="352">
        <v>1079.4807692307693</v>
      </c>
      <c r="F24" s="351">
        <v>48113.016402714937</v>
      </c>
      <c r="G24" s="352">
        <v>7950.3447729090094</v>
      </c>
      <c r="H24" s="353">
        <v>7950.3447729090094</v>
      </c>
      <c r="I24" s="52">
        <v>0</v>
      </c>
      <c r="J24" s="52"/>
      <c r="K24" s="324">
        <f t="shared" si="5"/>
        <v>7950.3447729090094</v>
      </c>
      <c r="L24" s="54">
        <f t="shared" ref="L24:L29" si="7">IF(K24&lt;&gt;0,+G24-K24,0)</f>
        <v>0</v>
      </c>
      <c r="M24" s="324">
        <f t="shared" si="6"/>
        <v>7950.3447729090094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4"/>
        <v/>
      </c>
      <c r="C25" s="50">
        <f>IF(D11="","-",+C24+1)</f>
        <v>2014</v>
      </c>
      <c r="D25" s="351">
        <v>48113.016402714937</v>
      </c>
      <c r="E25" s="352">
        <v>1079.4807692307693</v>
      </c>
      <c r="F25" s="351">
        <v>47033.535633484171</v>
      </c>
      <c r="G25" s="352">
        <v>7554.0593246775043</v>
      </c>
      <c r="H25" s="353">
        <v>7554.0593246775043</v>
      </c>
      <c r="I25" s="52">
        <v>0</v>
      </c>
      <c r="J25" s="52"/>
      <c r="K25" s="324">
        <f t="shared" si="5"/>
        <v>7554.0593246775043</v>
      </c>
      <c r="L25" s="54">
        <f t="shared" si="7"/>
        <v>0</v>
      </c>
      <c r="M25" s="324">
        <f t="shared" si="6"/>
        <v>7554.0593246775043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2015</v>
      </c>
      <c r="D26" s="351">
        <v>47033.535633484171</v>
      </c>
      <c r="E26" s="352">
        <v>1079.4807692307693</v>
      </c>
      <c r="F26" s="351">
        <v>45954.054864253405</v>
      </c>
      <c r="G26" s="352">
        <v>7415.24244849963</v>
      </c>
      <c r="H26" s="353">
        <v>7415.24244849963</v>
      </c>
      <c r="I26" s="52">
        <v>0</v>
      </c>
      <c r="J26" s="52"/>
      <c r="K26" s="324">
        <f t="shared" si="5"/>
        <v>7415.24244849963</v>
      </c>
      <c r="L26" s="54">
        <f t="shared" si="7"/>
        <v>0</v>
      </c>
      <c r="M26" s="324">
        <f t="shared" si="6"/>
        <v>7415.24244849963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2016</v>
      </c>
      <c r="D27" s="351">
        <v>45954.054864253405</v>
      </c>
      <c r="E27" s="352">
        <v>1079.4807692307693</v>
      </c>
      <c r="F27" s="351">
        <v>44874.574095022639</v>
      </c>
      <c r="G27" s="352">
        <v>6965.2134846377958</v>
      </c>
      <c r="H27" s="353">
        <v>6965.2134846377958</v>
      </c>
      <c r="I27" s="52">
        <f t="shared" si="0"/>
        <v>0</v>
      </c>
      <c r="J27" s="52"/>
      <c r="K27" s="324">
        <f t="shared" ref="K27:K32" si="10">G27</f>
        <v>6965.2134846377958</v>
      </c>
      <c r="L27" s="54">
        <f t="shared" si="7"/>
        <v>0</v>
      </c>
      <c r="M27" s="324">
        <f t="shared" ref="M27:M32" si="11">H27</f>
        <v>6965.2134846377958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2017</v>
      </c>
      <c r="D28" s="351">
        <v>44874.574095022639</v>
      </c>
      <c r="E28" s="352">
        <v>1220.2826086956522</v>
      </c>
      <c r="F28" s="351">
        <v>43654.291486326983</v>
      </c>
      <c r="G28" s="352">
        <v>6775.7563240948048</v>
      </c>
      <c r="H28" s="353">
        <v>6775.7563240948048</v>
      </c>
      <c r="I28" s="52">
        <f t="shared" si="0"/>
        <v>0</v>
      </c>
      <c r="J28" s="52"/>
      <c r="K28" s="324">
        <f t="shared" si="10"/>
        <v>6775.7563240948048</v>
      </c>
      <c r="L28" s="54">
        <f t="shared" si="7"/>
        <v>0</v>
      </c>
      <c r="M28" s="324">
        <f t="shared" si="11"/>
        <v>6775.7563240948048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2018</v>
      </c>
      <c r="D29" s="351">
        <v>43654.291486326983</v>
      </c>
      <c r="E29" s="352">
        <v>1247.4000000000001</v>
      </c>
      <c r="F29" s="351">
        <v>42406.891486326982</v>
      </c>
      <c r="G29" s="352">
        <v>6400.6980544313355</v>
      </c>
      <c r="H29" s="353">
        <v>6400.6980544313355</v>
      </c>
      <c r="I29" s="52">
        <f t="shared" si="0"/>
        <v>0</v>
      </c>
      <c r="J29" s="52"/>
      <c r="K29" s="324">
        <f t="shared" si="10"/>
        <v>6400.6980544313355</v>
      </c>
      <c r="L29" s="54">
        <f t="shared" si="7"/>
        <v>0</v>
      </c>
      <c r="M29" s="324">
        <f t="shared" si="11"/>
        <v>6400.6980544313355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4"/>
        <v/>
      </c>
      <c r="C30" s="50">
        <f>IF(D11="","-",+C29+1)</f>
        <v>2019</v>
      </c>
      <c r="D30" s="351">
        <v>42406.891486326982</v>
      </c>
      <c r="E30" s="352">
        <v>1403.325</v>
      </c>
      <c r="F30" s="351">
        <v>41003.566486326985</v>
      </c>
      <c r="G30" s="352">
        <v>6059.9903761062678</v>
      </c>
      <c r="H30" s="353">
        <v>6059.9903761062678</v>
      </c>
      <c r="I30" s="52">
        <f t="shared" si="0"/>
        <v>0</v>
      </c>
      <c r="J30" s="52"/>
      <c r="K30" s="324">
        <f t="shared" si="10"/>
        <v>6059.9903761062678</v>
      </c>
      <c r="L30" s="54">
        <f t="shared" ref="L30" si="12">IF(K30&lt;&gt;0,+G30-K30,0)</f>
        <v>0</v>
      </c>
      <c r="M30" s="324">
        <f t="shared" si="11"/>
        <v>6059.9903761062678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 ht="12.5">
      <c r="B31" s="7" t="str">
        <f t="shared" si="4"/>
        <v>IU</v>
      </c>
      <c r="C31" s="50">
        <f>IF(D11="","-",+C30+1)</f>
        <v>2020</v>
      </c>
      <c r="D31" s="351">
        <v>41159.491486326981</v>
      </c>
      <c r="E31" s="352">
        <v>1336.5</v>
      </c>
      <c r="F31" s="351">
        <v>39822.991486326981</v>
      </c>
      <c r="G31" s="352">
        <v>5709.7475035377865</v>
      </c>
      <c r="H31" s="353">
        <v>5709.7475035377865</v>
      </c>
      <c r="I31" s="52">
        <f t="shared" si="0"/>
        <v>0</v>
      </c>
      <c r="J31" s="52"/>
      <c r="K31" s="324">
        <f t="shared" si="10"/>
        <v>5709.7475035377865</v>
      </c>
      <c r="L31" s="54">
        <f t="shared" ref="L31" si="15">IF(K31&lt;&gt;0,+G31-K31,0)</f>
        <v>0</v>
      </c>
      <c r="M31" s="324">
        <f t="shared" si="11"/>
        <v>5709.7475035377865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>IU</v>
      </c>
      <c r="C32" s="50">
        <f>IF(D11="","-",+C31+1)</f>
        <v>2021</v>
      </c>
      <c r="D32" s="351">
        <v>39667.06648632697</v>
      </c>
      <c r="E32" s="352">
        <v>1305.4186046511627</v>
      </c>
      <c r="F32" s="351">
        <v>38361.64788167581</v>
      </c>
      <c r="G32" s="352">
        <v>5441.6348487910545</v>
      </c>
      <c r="H32" s="353">
        <v>5441.6348487910545</v>
      </c>
      <c r="I32" s="52">
        <f t="shared" si="0"/>
        <v>0</v>
      </c>
      <c r="J32" s="52"/>
      <c r="K32" s="324">
        <f t="shared" si="10"/>
        <v>5441.6348487910545</v>
      </c>
      <c r="L32" s="54">
        <f t="shared" ref="L32" si="16">IF(K32&lt;&gt;0,+G32-K32,0)</f>
        <v>0</v>
      </c>
      <c r="M32" s="324">
        <f t="shared" si="11"/>
        <v>5441.6348487910545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2022</v>
      </c>
      <c r="D33" s="351">
        <v>38361.64788167581</v>
      </c>
      <c r="E33" s="352">
        <v>1336.5</v>
      </c>
      <c r="F33" s="351">
        <v>37025.14788167581</v>
      </c>
      <c r="G33" s="352">
        <v>5328.2273193212004</v>
      </c>
      <c r="H33" s="353">
        <v>5328.2273193212004</v>
      </c>
      <c r="I33" s="52">
        <f t="shared" si="0"/>
        <v>0</v>
      </c>
      <c r="J33" s="52"/>
      <c r="K33" s="324">
        <f t="shared" ref="K33" si="17">G33</f>
        <v>5328.2273193212004</v>
      </c>
      <c r="L33" s="54">
        <f t="shared" ref="L33" si="18">IF(K33&lt;&gt;0,+G33-K33,0)</f>
        <v>0</v>
      </c>
      <c r="M33" s="324">
        <f t="shared" ref="M33" si="19">H33</f>
        <v>5328.2273193212004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2023</v>
      </c>
      <c r="D34" s="351">
        <v>37025.14788167581</v>
      </c>
      <c r="E34" s="352">
        <v>1439.3076923076924</v>
      </c>
      <c r="F34" s="351">
        <v>35585.840189368115</v>
      </c>
      <c r="G34" s="352">
        <v>5686.7962355511117</v>
      </c>
      <c r="H34" s="353">
        <v>5686.7962355511117</v>
      </c>
      <c r="I34" s="52">
        <f t="shared" si="0"/>
        <v>0</v>
      </c>
      <c r="J34" s="52"/>
      <c r="K34" s="324">
        <f t="shared" ref="K34" si="20">G34</f>
        <v>5686.7962355511117</v>
      </c>
      <c r="L34" s="54">
        <f t="shared" ref="L34" si="21">IF(K34&lt;&gt;0,+G34-K34,0)</f>
        <v>0</v>
      </c>
      <c r="M34" s="324">
        <f t="shared" ref="M34" si="22">H34</f>
        <v>5686.7962355511117</v>
      </c>
      <c r="N34" s="54">
        <f t="shared" ref="N34" si="23">IF(M34&lt;&gt;0,+H34-M34,0)</f>
        <v>0</v>
      </c>
      <c r="O34" s="54">
        <f t="shared" ref="O34" si="24">+N34-L34</f>
        <v>0</v>
      </c>
      <c r="P34" s="1"/>
    </row>
    <row r="35" spans="2:16" ht="12.5">
      <c r="B35" s="7" t="str">
        <f t="shared" si="4"/>
        <v/>
      </c>
      <c r="C35" s="450">
        <f>IF(D11="","-",+C34+1)</f>
        <v>2024</v>
      </c>
      <c r="D35" s="351">
        <v>35585.840189368115</v>
      </c>
      <c r="E35" s="352">
        <v>1477.1842105263158</v>
      </c>
      <c r="F35" s="351">
        <v>34108.655978841802</v>
      </c>
      <c r="G35" s="352">
        <v>5356.7091396474525</v>
      </c>
      <c r="H35" s="353">
        <v>5356.7091396474525</v>
      </c>
      <c r="I35" s="52">
        <f t="shared" si="0"/>
        <v>0</v>
      </c>
      <c r="J35" s="52"/>
      <c r="K35" s="324">
        <f t="shared" ref="K35" si="25">G35</f>
        <v>5356.7091396474525</v>
      </c>
      <c r="L35" s="54">
        <f t="shared" ref="L35" si="26">IF(K35&lt;&gt;0,+G35-K35,0)</f>
        <v>0</v>
      </c>
      <c r="M35" s="324">
        <f t="shared" ref="M35" si="27">H35</f>
        <v>5356.7091396474525</v>
      </c>
      <c r="N35" s="54">
        <f t="shared" ref="N35" si="28">IF(M35&lt;&gt;0,+H35-M35,0)</f>
        <v>0</v>
      </c>
      <c r="O35" s="54">
        <f t="shared" ref="O35" si="29">+N35-L35</f>
        <v>0</v>
      </c>
      <c r="P35" s="1"/>
    </row>
    <row r="36" spans="2:16" ht="13">
      <c r="B36" s="7" t="str">
        <f t="shared" si="4"/>
        <v/>
      </c>
      <c r="C36" s="449">
        <f>IF(D11="","-",+C35+1)</f>
        <v>2025</v>
      </c>
      <c r="D36" s="351">
        <v>34108.655978841802</v>
      </c>
      <c r="E36" s="352">
        <v>1477.1842105263158</v>
      </c>
      <c r="F36" s="351">
        <v>32631.471768315485</v>
      </c>
      <c r="G36" s="352">
        <v>5184.3313183350274</v>
      </c>
      <c r="H36" s="353">
        <v>5184.3313183350274</v>
      </c>
      <c r="I36" s="52">
        <f t="shared" si="0"/>
        <v>0</v>
      </c>
      <c r="J36" s="52"/>
      <c r="K36" s="324">
        <f t="shared" ref="K36" si="30">G36</f>
        <v>5184.3313183350274</v>
      </c>
      <c r="L36" s="54">
        <f t="shared" ref="L36" si="31">IF(K36&lt;&gt;0,+G36-K36,0)</f>
        <v>0</v>
      </c>
      <c r="M36" s="324">
        <f t="shared" ref="M36" si="32">H36</f>
        <v>5184.3313183350274</v>
      </c>
      <c r="N36" s="54">
        <f t="shared" ref="N36" si="33">IF(M36&lt;&gt;0,+H36-M36,0)</f>
        <v>0</v>
      </c>
      <c r="O36" s="54">
        <f t="shared" ref="O36" si="34">+N36-L36</f>
        <v>0</v>
      </c>
      <c r="P36" s="1"/>
    </row>
    <row r="37" spans="2:16" ht="12.5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32631.471768315485</v>
      </c>
      <c r="E37" s="354">
        <f>IF(+I14&lt;F36,I14,D37)</f>
        <v>1477.1842105263158</v>
      </c>
      <c r="F37" s="55">
        <f t="shared" ref="F37:F48" si="35">+D37-E37</f>
        <v>31154.287557789168</v>
      </c>
      <c r="G37" s="355">
        <f t="shared" ref="G37:G72" si="36">+I$12*F37+E37</f>
        <v>5134.7818637532</v>
      </c>
      <c r="H37" s="337">
        <f t="shared" ref="H37:H72" si="37">+I$13*F37+E37</f>
        <v>5134.7818637532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393" t="str">
        <f t="shared" si="4"/>
        <v/>
      </c>
      <c r="C38" s="50">
        <f>IF(D11="","-",+C37+1)</f>
        <v>2027</v>
      </c>
      <c r="D38" s="55">
        <f>IF(F37+SUM(E$17:E37)=D$10,F37,D$10-SUM(E$17:E37))</f>
        <v>31154.287557789168</v>
      </c>
      <c r="E38" s="354">
        <f>IF(+I14&lt;F37,I14,D38)</f>
        <v>1477.1842105263158</v>
      </c>
      <c r="F38" s="55">
        <f t="shared" si="35"/>
        <v>29677.103347262851</v>
      </c>
      <c r="G38" s="355">
        <f t="shared" si="36"/>
        <v>4961.3564406302112</v>
      </c>
      <c r="H38" s="337">
        <f t="shared" si="37"/>
        <v>4961.3564406302112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29677.103347262851</v>
      </c>
      <c r="E39" s="354">
        <f>IF(+I14&lt;F38,I14,D39)</f>
        <v>1477.1842105263158</v>
      </c>
      <c r="F39" s="55">
        <f t="shared" si="35"/>
        <v>28199.919136736535</v>
      </c>
      <c r="G39" s="355">
        <f t="shared" si="36"/>
        <v>4787.9310175072224</v>
      </c>
      <c r="H39" s="337">
        <f t="shared" si="37"/>
        <v>4787.9310175072224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28199.919136736535</v>
      </c>
      <c r="E40" s="354">
        <f>IF(+I14&lt;F39,I14,D40)</f>
        <v>1477.1842105263158</v>
      </c>
      <c r="F40" s="55">
        <f t="shared" si="35"/>
        <v>26722.734926210218</v>
      </c>
      <c r="G40" s="355">
        <f t="shared" si="36"/>
        <v>4614.5055943842326</v>
      </c>
      <c r="H40" s="337">
        <f t="shared" si="37"/>
        <v>4614.5055943842326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26722.734926210218</v>
      </c>
      <c r="E41" s="354">
        <f>IF(+I14&lt;F40,I14,D41)</f>
        <v>1477.1842105263158</v>
      </c>
      <c r="F41" s="55">
        <f t="shared" si="35"/>
        <v>25245.550715683901</v>
      </c>
      <c r="G41" s="355">
        <f t="shared" si="36"/>
        <v>4441.0801712612438</v>
      </c>
      <c r="H41" s="337">
        <f t="shared" si="37"/>
        <v>4441.0801712612438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25245.550715683901</v>
      </c>
      <c r="E42" s="354">
        <f>IF(+I14&lt;F41,I14,D42)</f>
        <v>1477.1842105263158</v>
      </c>
      <c r="F42" s="55">
        <f t="shared" si="35"/>
        <v>23768.366505157584</v>
      </c>
      <c r="G42" s="355">
        <f t="shared" si="36"/>
        <v>4267.6547481382549</v>
      </c>
      <c r="H42" s="337">
        <f t="shared" si="37"/>
        <v>4267.6547481382549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23768.366505157584</v>
      </c>
      <c r="E43" s="354">
        <f>IF(+I14&lt;F42,I14,D43)</f>
        <v>1477.1842105263158</v>
      </c>
      <c r="F43" s="55">
        <f t="shared" si="35"/>
        <v>22291.182294631268</v>
      </c>
      <c r="G43" s="355">
        <f t="shared" si="36"/>
        <v>4094.2293250152652</v>
      </c>
      <c r="H43" s="337">
        <f t="shared" si="37"/>
        <v>4094.2293250152652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22291.182294631268</v>
      </c>
      <c r="E44" s="354">
        <f>IF(+I14&lt;F43,I14,D44)</f>
        <v>1477.1842105263158</v>
      </c>
      <c r="F44" s="55">
        <f t="shared" si="35"/>
        <v>20813.998084104951</v>
      </c>
      <c r="G44" s="355">
        <f t="shared" si="36"/>
        <v>3920.8039018922759</v>
      </c>
      <c r="H44" s="337">
        <f t="shared" si="37"/>
        <v>3920.8039018922759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20813.998084104951</v>
      </c>
      <c r="E45" s="354">
        <f>IF(+I14&lt;F44,I14,D45)</f>
        <v>1477.1842105263158</v>
      </c>
      <c r="F45" s="55">
        <f t="shared" si="35"/>
        <v>19336.813873578634</v>
      </c>
      <c r="G45" s="355">
        <f t="shared" si="36"/>
        <v>3747.3784787692866</v>
      </c>
      <c r="H45" s="337">
        <f t="shared" si="37"/>
        <v>3747.3784787692866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19336.813873578634</v>
      </c>
      <c r="E46" s="354">
        <f>IF(+I14&lt;F45,I14,D46)</f>
        <v>1477.1842105263158</v>
      </c>
      <c r="F46" s="55">
        <f t="shared" si="35"/>
        <v>17859.629663052317</v>
      </c>
      <c r="G46" s="355">
        <f t="shared" si="36"/>
        <v>3573.9530556462978</v>
      </c>
      <c r="H46" s="337">
        <f t="shared" si="37"/>
        <v>3573.9530556462978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17859.629663052317</v>
      </c>
      <c r="E47" s="354">
        <f>IF(+I14&lt;F46,I14,D47)</f>
        <v>1477.1842105263158</v>
      </c>
      <c r="F47" s="55">
        <f t="shared" si="35"/>
        <v>16382.445452526001</v>
      </c>
      <c r="G47" s="355">
        <f t="shared" si="36"/>
        <v>3400.5276325233085</v>
      </c>
      <c r="H47" s="337">
        <f t="shared" si="37"/>
        <v>3400.5276325233085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16382.445452526001</v>
      </c>
      <c r="E48" s="354">
        <f>IF(+I14&lt;F47,I14,D48)</f>
        <v>1477.1842105263158</v>
      </c>
      <c r="F48" s="55">
        <f t="shared" si="35"/>
        <v>14905.261241999684</v>
      </c>
      <c r="G48" s="355">
        <f t="shared" si="36"/>
        <v>3227.1022094003192</v>
      </c>
      <c r="H48" s="337">
        <f t="shared" si="37"/>
        <v>3227.1022094003192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14905.261241999684</v>
      </c>
      <c r="E49" s="354">
        <f>IF(+I14&lt;F48,I14,D49)</f>
        <v>1477.1842105263158</v>
      </c>
      <c r="F49" s="55">
        <f t="shared" ref="F49:F72" si="38">+D49-E49</f>
        <v>13428.077031473367</v>
      </c>
      <c r="G49" s="355">
        <f t="shared" si="36"/>
        <v>3053.6767862773299</v>
      </c>
      <c r="H49" s="337">
        <f t="shared" si="37"/>
        <v>3053.6767862773299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13428.077031473367</v>
      </c>
      <c r="E50" s="354">
        <f>IF(+I14&lt;F49,I14,D50)</f>
        <v>1477.1842105263158</v>
      </c>
      <c r="F50" s="55">
        <f t="shared" si="38"/>
        <v>11950.89282094705</v>
      </c>
      <c r="G50" s="355">
        <f t="shared" si="36"/>
        <v>2880.2513631543407</v>
      </c>
      <c r="H50" s="337">
        <f t="shared" si="37"/>
        <v>2880.2513631543407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11950.89282094705</v>
      </c>
      <c r="E51" s="354">
        <f>IF(+I14&lt;F50,I14,D51)</f>
        <v>1477.1842105263158</v>
      </c>
      <c r="F51" s="55">
        <f t="shared" si="38"/>
        <v>10473.708610420734</v>
      </c>
      <c r="G51" s="355">
        <f t="shared" si="36"/>
        <v>2706.8259400313518</v>
      </c>
      <c r="H51" s="337">
        <f t="shared" si="37"/>
        <v>2706.8259400313518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10473.708610420734</v>
      </c>
      <c r="E52" s="354">
        <f>IF(+I14&lt;F51,I14,D52)</f>
        <v>1477.1842105263158</v>
      </c>
      <c r="F52" s="55">
        <f t="shared" si="38"/>
        <v>8996.524399894417</v>
      </c>
      <c r="G52" s="355">
        <f t="shared" si="36"/>
        <v>2533.4005169083625</v>
      </c>
      <c r="H52" s="337">
        <f t="shared" si="37"/>
        <v>2533.4005169083625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8996.524399894417</v>
      </c>
      <c r="E53" s="354">
        <f>IF(+I14&lt;F52,I14,D53)</f>
        <v>1477.1842105263158</v>
      </c>
      <c r="F53" s="55">
        <f t="shared" si="38"/>
        <v>7519.3401893681012</v>
      </c>
      <c r="G53" s="355">
        <f t="shared" si="36"/>
        <v>2359.9750937853732</v>
      </c>
      <c r="H53" s="337">
        <f t="shared" si="37"/>
        <v>2359.9750937853732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7519.3401893681012</v>
      </c>
      <c r="E54" s="354">
        <f>IF(+I14&lt;F53,I14,D54)</f>
        <v>1477.1842105263158</v>
      </c>
      <c r="F54" s="55">
        <f t="shared" si="38"/>
        <v>6042.1559788417853</v>
      </c>
      <c r="G54" s="355">
        <f t="shared" si="36"/>
        <v>2186.5496706623844</v>
      </c>
      <c r="H54" s="337">
        <f t="shared" si="37"/>
        <v>2186.5496706623844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6042.1559788417853</v>
      </c>
      <c r="E55" s="354">
        <f>IF(+I14&lt;F54,I14,D55)</f>
        <v>1477.1842105263158</v>
      </c>
      <c r="F55" s="55">
        <f t="shared" si="38"/>
        <v>4564.9717683154695</v>
      </c>
      <c r="G55" s="355">
        <f t="shared" si="36"/>
        <v>2013.1242475393951</v>
      </c>
      <c r="H55" s="337">
        <f t="shared" si="37"/>
        <v>2013.1242475393951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4564.9717683154695</v>
      </c>
      <c r="E56" s="354">
        <f>IF(+I14&lt;F55,I14,D56)</f>
        <v>1477.1842105263158</v>
      </c>
      <c r="F56" s="55">
        <f t="shared" si="38"/>
        <v>3087.7875577891537</v>
      </c>
      <c r="G56" s="355">
        <f t="shared" si="36"/>
        <v>1839.6988244164061</v>
      </c>
      <c r="H56" s="337">
        <f t="shared" si="37"/>
        <v>1839.6988244164061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3087.7875577891537</v>
      </c>
      <c r="E57" s="354">
        <f>IF(+I14&lt;F56,I14,D57)</f>
        <v>1477.1842105263158</v>
      </c>
      <c r="F57" s="55">
        <f t="shared" si="38"/>
        <v>1610.6033472628378</v>
      </c>
      <c r="G57" s="355">
        <f t="shared" si="36"/>
        <v>1666.273401293417</v>
      </c>
      <c r="H57" s="337">
        <f t="shared" si="37"/>
        <v>1666.273401293417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1610.6033472628378</v>
      </c>
      <c r="E58" s="354">
        <f>IF(+I14&lt;F57,I14,D58)</f>
        <v>1477.1842105263158</v>
      </c>
      <c r="F58" s="55">
        <f t="shared" si="38"/>
        <v>133.41913673652198</v>
      </c>
      <c r="G58" s="355">
        <f t="shared" si="36"/>
        <v>1492.847978170428</v>
      </c>
      <c r="H58" s="337">
        <f t="shared" si="37"/>
        <v>1492.847978170428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4"/>
        <v>IU</v>
      </c>
      <c r="C59" s="50">
        <f>IF(D11="","-",+C58+1)</f>
        <v>2048</v>
      </c>
      <c r="D59" s="55">
        <f>IF(F58+SUM(E$17:E58)=D$10,F58,D$10-SUM(E$17:E58))</f>
        <v>133.41913673657109</v>
      </c>
      <c r="E59" s="354">
        <f>IF(+I14&lt;F58,I14,D59)</f>
        <v>133.41913673657109</v>
      </c>
      <c r="F59" s="55">
        <f t="shared" si="38"/>
        <v>0</v>
      </c>
      <c r="G59" s="355">
        <f t="shared" si="36"/>
        <v>133.41913673657109</v>
      </c>
      <c r="H59" s="337">
        <f t="shared" si="37"/>
        <v>133.41913673657109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393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2:16" ht="12.5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2:16" ht="12.5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2:16" ht="12.5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2:16" ht="12.5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2:16" ht="12.5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2:16" ht="12.5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2:16" ht="12.5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2:16" ht="12.5">
      <c r="C73" s="12" t="s">
        <v>77</v>
      </c>
      <c r="D73" s="267"/>
      <c r="E73" s="267">
        <f>SUM(E17:E72)</f>
        <v>56133</v>
      </c>
      <c r="F73" s="267"/>
      <c r="G73" s="267">
        <f>SUM(G17:G72)</f>
        <v>180179.1623905068</v>
      </c>
      <c r="H73" s="267">
        <f>SUM(H17:H72)</f>
        <v>180179.1623905068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8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5356.7091396474525</v>
      </c>
      <c r="N87" s="364">
        <f>IF(J92&lt;D11,0,VLOOKUP(J92,C17:O72,11))</f>
        <v>5356.7091396474525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6188.1615853848334</v>
      </c>
      <c r="N88" s="367">
        <f>IF(J92&lt;D11,0,VLOOKUP(J92,C99:P154,7))</f>
        <v>6188.1615853848334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Weleetka &amp; Okmulgee Wavetrap replacement 81-805*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831.45244573738091</v>
      </c>
      <c r="N89" s="369">
        <f>+N88-N87</f>
        <v>831.45244573738091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TP2005046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56133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1517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2006</v>
      </c>
      <c r="D99" s="349">
        <v>0</v>
      </c>
      <c r="E99" s="352">
        <v>0</v>
      </c>
      <c r="F99" s="351">
        <v>56133</v>
      </c>
      <c r="G99" s="376">
        <v>28067</v>
      </c>
      <c r="H99" s="377">
        <v>0</v>
      </c>
      <c r="I99" s="378">
        <v>0</v>
      </c>
      <c r="J99" s="54">
        <f t="shared" ref="J99:J130" si="43">+I99-H99</f>
        <v>0</v>
      </c>
      <c r="K99" s="54"/>
      <c r="L99" s="117">
        <v>0</v>
      </c>
      <c r="M99" s="53">
        <f t="shared" ref="M99:M130" si="44">IF(L99&lt;&gt;0,+H99-L99,0)</f>
        <v>0</v>
      </c>
      <c r="N99" s="117">
        <v>0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 ht="12.5">
      <c r="B100" s="7" t="str">
        <f>IF(D100=F99,"","IU")</f>
        <v/>
      </c>
      <c r="C100" s="50">
        <f>IF(D93="","-",+C99+1)</f>
        <v>2007</v>
      </c>
      <c r="D100" s="349">
        <v>56133</v>
      </c>
      <c r="E100" s="352">
        <v>1059</v>
      </c>
      <c r="F100" s="351">
        <v>55074</v>
      </c>
      <c r="G100" s="351">
        <v>55603</v>
      </c>
      <c r="H100" s="352">
        <v>0</v>
      </c>
      <c r="I100" s="353">
        <v>0</v>
      </c>
      <c r="J100" s="54">
        <f t="shared" si="43"/>
        <v>0</v>
      </c>
      <c r="K100" s="54"/>
      <c r="L100" s="324">
        <v>0</v>
      </c>
      <c r="M100" s="54">
        <f t="shared" si="44"/>
        <v>0</v>
      </c>
      <c r="N100" s="324">
        <v>0</v>
      </c>
      <c r="O100" s="54">
        <f t="shared" si="45"/>
        <v>0</v>
      </c>
      <c r="P100" s="54">
        <f t="shared" si="46"/>
        <v>0</v>
      </c>
    </row>
    <row r="101" spans="1:16" ht="12.5">
      <c r="B101" s="7" t="str">
        <f t="shared" ref="B101:B154" si="47">IF(D101=F100,"","IU")</f>
        <v/>
      </c>
      <c r="C101" s="50">
        <f>IF(D93="","-",+C100+1)</f>
        <v>2008</v>
      </c>
      <c r="D101" s="349">
        <v>55074</v>
      </c>
      <c r="E101" s="352">
        <v>1059</v>
      </c>
      <c r="F101" s="351">
        <v>54015</v>
      </c>
      <c r="G101" s="351">
        <v>54544</v>
      </c>
      <c r="H101" s="352">
        <v>9723</v>
      </c>
      <c r="I101" s="353">
        <v>9723</v>
      </c>
      <c r="J101" s="54">
        <f t="shared" si="43"/>
        <v>0</v>
      </c>
      <c r="K101" s="54"/>
      <c r="L101" s="324">
        <v>9723</v>
      </c>
      <c r="M101" s="54">
        <f t="shared" si="44"/>
        <v>0</v>
      </c>
      <c r="N101" s="324">
        <v>9723</v>
      </c>
      <c r="O101" s="54">
        <f t="shared" si="45"/>
        <v>0</v>
      </c>
      <c r="P101" s="54">
        <f t="shared" si="46"/>
        <v>0</v>
      </c>
    </row>
    <row r="102" spans="1:16" ht="12.5">
      <c r="B102" s="7" t="str">
        <f t="shared" si="47"/>
        <v/>
      </c>
      <c r="C102" s="50">
        <f>IF(D93="","-",+C101+1)</f>
        <v>2009</v>
      </c>
      <c r="D102" s="349">
        <v>54015</v>
      </c>
      <c r="E102" s="352">
        <v>1002</v>
      </c>
      <c r="F102" s="351">
        <v>53013</v>
      </c>
      <c r="G102" s="351">
        <v>53514</v>
      </c>
      <c r="H102" s="352">
        <v>8826.1899911613018</v>
      </c>
      <c r="I102" s="353">
        <v>8826.1899911613018</v>
      </c>
      <c r="J102" s="54">
        <f t="shared" si="43"/>
        <v>0</v>
      </c>
      <c r="K102" s="54"/>
      <c r="L102" s="379">
        <f t="shared" ref="L102:L107" si="48">H102</f>
        <v>8826.1899911613018</v>
      </c>
      <c r="M102" s="380">
        <f t="shared" si="44"/>
        <v>0</v>
      </c>
      <c r="N102" s="379">
        <f t="shared" ref="N102:N107" si="49">I102</f>
        <v>8826.1899911613018</v>
      </c>
      <c r="O102" s="54">
        <f t="shared" si="45"/>
        <v>0</v>
      </c>
      <c r="P102" s="54">
        <f t="shared" si="46"/>
        <v>0</v>
      </c>
    </row>
    <row r="103" spans="1:16" ht="12.5">
      <c r="B103" s="7" t="str">
        <f t="shared" si="47"/>
        <v/>
      </c>
      <c r="C103" s="50">
        <f>IF(D93="","-",+C102+1)</f>
        <v>2010</v>
      </c>
      <c r="D103" s="349">
        <v>53013</v>
      </c>
      <c r="E103" s="352">
        <v>1101</v>
      </c>
      <c r="F103" s="351">
        <v>51912</v>
      </c>
      <c r="G103" s="351">
        <v>52462.5</v>
      </c>
      <c r="H103" s="352">
        <v>9537.7685710444202</v>
      </c>
      <c r="I103" s="353">
        <v>9537.7685710444202</v>
      </c>
      <c r="J103" s="54">
        <f t="shared" si="43"/>
        <v>0</v>
      </c>
      <c r="K103" s="54"/>
      <c r="L103" s="379">
        <f t="shared" si="48"/>
        <v>9537.7685710444202</v>
      </c>
      <c r="M103" s="380">
        <f t="shared" si="44"/>
        <v>0</v>
      </c>
      <c r="N103" s="379">
        <f t="shared" si="49"/>
        <v>9537.7685710444202</v>
      </c>
      <c r="O103" s="54">
        <f t="shared" si="45"/>
        <v>0</v>
      </c>
      <c r="P103" s="54">
        <f t="shared" si="46"/>
        <v>0</v>
      </c>
    </row>
    <row r="104" spans="1:16" ht="12.5">
      <c r="B104" s="7" t="str">
        <f t="shared" si="47"/>
        <v/>
      </c>
      <c r="C104" s="50">
        <f>IF(D93="","-",+C103+1)</f>
        <v>2011</v>
      </c>
      <c r="D104" s="349">
        <v>51912</v>
      </c>
      <c r="E104" s="352">
        <v>1079</v>
      </c>
      <c r="F104" s="351">
        <v>50833</v>
      </c>
      <c r="G104" s="351">
        <v>51372.5</v>
      </c>
      <c r="H104" s="352">
        <v>8261.5658402233203</v>
      </c>
      <c r="I104" s="353">
        <v>8261.5658402233203</v>
      </c>
      <c r="J104" s="54">
        <f t="shared" si="43"/>
        <v>0</v>
      </c>
      <c r="K104" s="54"/>
      <c r="L104" s="379">
        <f t="shared" si="48"/>
        <v>8261.5658402233203</v>
      </c>
      <c r="M104" s="380">
        <f t="shared" si="44"/>
        <v>0</v>
      </c>
      <c r="N104" s="379">
        <f t="shared" si="49"/>
        <v>8261.5658402233203</v>
      </c>
      <c r="O104" s="54">
        <f t="shared" si="45"/>
        <v>0</v>
      </c>
      <c r="P104" s="54">
        <f t="shared" si="46"/>
        <v>0</v>
      </c>
    </row>
    <row r="105" spans="1:16" ht="12.5">
      <c r="B105" s="7" t="str">
        <f t="shared" si="47"/>
        <v/>
      </c>
      <c r="C105" s="50">
        <f>IF(D93="","-",+C104+1)</f>
        <v>2012</v>
      </c>
      <c r="D105" s="349">
        <v>50833</v>
      </c>
      <c r="E105" s="352">
        <v>1079</v>
      </c>
      <c r="F105" s="351">
        <v>49754</v>
      </c>
      <c r="G105" s="351">
        <v>50293.5</v>
      </c>
      <c r="H105" s="352">
        <v>8313.995673781943</v>
      </c>
      <c r="I105" s="353">
        <v>8313.995673781943</v>
      </c>
      <c r="J105" s="54">
        <v>0</v>
      </c>
      <c r="K105" s="54"/>
      <c r="L105" s="379">
        <f t="shared" si="48"/>
        <v>8313.995673781943</v>
      </c>
      <c r="M105" s="380">
        <f t="shared" ref="M105:M110" si="50">IF(L105&lt;&gt;0,+H105-L105,0)</f>
        <v>0</v>
      </c>
      <c r="N105" s="379">
        <f t="shared" si="49"/>
        <v>8313.995673781943</v>
      </c>
      <c r="O105" s="54">
        <f t="shared" ref="O105:O110" si="51">IF(N105&lt;&gt;0,+I105-N105,0)</f>
        <v>0</v>
      </c>
      <c r="P105" s="54">
        <f t="shared" ref="P105:P110" si="52">+O105-M105</f>
        <v>0</v>
      </c>
    </row>
    <row r="106" spans="1:16" ht="12.5">
      <c r="B106" s="7" t="str">
        <f t="shared" si="47"/>
        <v/>
      </c>
      <c r="C106" s="50">
        <f>IF(D93="","-",+C105+1)</f>
        <v>2013</v>
      </c>
      <c r="D106" s="349">
        <v>49754</v>
      </c>
      <c r="E106" s="352">
        <v>1079</v>
      </c>
      <c r="F106" s="351">
        <v>48675</v>
      </c>
      <c r="G106" s="351">
        <v>49214.5</v>
      </c>
      <c r="H106" s="352">
        <v>8162.9151459393179</v>
      </c>
      <c r="I106" s="353">
        <v>8162.9151459393179</v>
      </c>
      <c r="J106" s="54">
        <v>0</v>
      </c>
      <c r="K106" s="54"/>
      <c r="L106" s="379">
        <f t="shared" si="48"/>
        <v>8162.9151459393179</v>
      </c>
      <c r="M106" s="380">
        <f t="shared" si="50"/>
        <v>0</v>
      </c>
      <c r="N106" s="379">
        <f t="shared" si="49"/>
        <v>8162.9151459393179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7"/>
        <v/>
      </c>
      <c r="C107" s="50">
        <f>IF(D93="","-",+C106+1)</f>
        <v>2014</v>
      </c>
      <c r="D107" s="349">
        <v>48675</v>
      </c>
      <c r="E107" s="352">
        <v>1079</v>
      </c>
      <c r="F107" s="351">
        <v>47596</v>
      </c>
      <c r="G107" s="351">
        <v>48135.5</v>
      </c>
      <c r="H107" s="352">
        <v>7846.6545337569178</v>
      </c>
      <c r="I107" s="353">
        <v>7846.6545337569178</v>
      </c>
      <c r="J107" s="54">
        <v>0</v>
      </c>
      <c r="K107" s="54"/>
      <c r="L107" s="379">
        <f t="shared" si="48"/>
        <v>7846.6545337569178</v>
      </c>
      <c r="M107" s="380">
        <f t="shared" si="50"/>
        <v>0</v>
      </c>
      <c r="N107" s="379">
        <f t="shared" si="49"/>
        <v>7846.6545337569178</v>
      </c>
      <c r="O107" s="54">
        <f t="shared" si="51"/>
        <v>0</v>
      </c>
      <c r="P107" s="54">
        <f t="shared" si="52"/>
        <v>0</v>
      </c>
    </row>
    <row r="108" spans="1:16" ht="12.5">
      <c r="B108" s="7" t="str">
        <f t="shared" si="47"/>
        <v/>
      </c>
      <c r="C108" s="50">
        <f>IF(D93="","-",+C107+1)</f>
        <v>2015</v>
      </c>
      <c r="D108" s="349">
        <v>47596</v>
      </c>
      <c r="E108" s="352">
        <v>1079</v>
      </c>
      <c r="F108" s="351">
        <v>46517</v>
      </c>
      <c r="G108" s="351">
        <v>47056.5</v>
      </c>
      <c r="H108" s="352">
        <v>7499.4810720950254</v>
      </c>
      <c r="I108" s="353">
        <v>7499.4810720950254</v>
      </c>
      <c r="J108" s="54">
        <f t="shared" si="43"/>
        <v>0</v>
      </c>
      <c r="K108" s="54"/>
      <c r="L108" s="379">
        <f t="shared" ref="L108:L113" si="53">H108</f>
        <v>7499.4810720950254</v>
      </c>
      <c r="M108" s="380">
        <f t="shared" si="50"/>
        <v>0</v>
      </c>
      <c r="N108" s="379">
        <f t="shared" ref="N108:N113" si="54">I108</f>
        <v>7499.4810720950254</v>
      </c>
      <c r="O108" s="54">
        <f t="shared" si="51"/>
        <v>0</v>
      </c>
      <c r="P108" s="54">
        <f t="shared" si="52"/>
        <v>0</v>
      </c>
    </row>
    <row r="109" spans="1:16" ht="12.5">
      <c r="B109" s="7" t="str">
        <f t="shared" si="47"/>
        <v/>
      </c>
      <c r="C109" s="50">
        <f>IF(D93="","-",+C108+1)</f>
        <v>2016</v>
      </c>
      <c r="D109" s="349">
        <v>46517</v>
      </c>
      <c r="E109" s="352">
        <v>1220</v>
      </c>
      <c r="F109" s="351">
        <v>45297</v>
      </c>
      <c r="G109" s="351">
        <v>45907</v>
      </c>
      <c r="H109" s="352">
        <v>7138.135283574793</v>
      </c>
      <c r="I109" s="353">
        <v>7138.135283574793</v>
      </c>
      <c r="J109" s="54">
        <f t="shared" si="43"/>
        <v>0</v>
      </c>
      <c r="K109" s="54"/>
      <c r="L109" s="379">
        <f t="shared" si="53"/>
        <v>7138.135283574793</v>
      </c>
      <c r="M109" s="380">
        <f t="shared" si="50"/>
        <v>0</v>
      </c>
      <c r="N109" s="379">
        <f t="shared" si="54"/>
        <v>7138.135283574793</v>
      </c>
      <c r="O109" s="54">
        <f t="shared" si="51"/>
        <v>0</v>
      </c>
      <c r="P109" s="54">
        <f t="shared" si="52"/>
        <v>0</v>
      </c>
    </row>
    <row r="110" spans="1:16" ht="12.5">
      <c r="B110" s="7" t="str">
        <f t="shared" si="47"/>
        <v/>
      </c>
      <c r="C110" s="50">
        <f>IF(D93="","-",+C109+1)</f>
        <v>2017</v>
      </c>
      <c r="D110" s="349">
        <v>45297</v>
      </c>
      <c r="E110" s="352">
        <v>1220</v>
      </c>
      <c r="F110" s="351">
        <v>44077</v>
      </c>
      <c r="G110" s="351">
        <v>44687</v>
      </c>
      <c r="H110" s="352">
        <v>6888.6586283105316</v>
      </c>
      <c r="I110" s="353">
        <v>6888.6586283105316</v>
      </c>
      <c r="J110" s="54">
        <f t="shared" si="43"/>
        <v>0</v>
      </c>
      <c r="K110" s="54"/>
      <c r="L110" s="379">
        <f t="shared" si="53"/>
        <v>6888.6586283105316</v>
      </c>
      <c r="M110" s="380">
        <f t="shared" si="50"/>
        <v>0</v>
      </c>
      <c r="N110" s="379">
        <f t="shared" si="54"/>
        <v>6888.6586283105316</v>
      </c>
      <c r="O110" s="54">
        <f t="shared" si="51"/>
        <v>0</v>
      </c>
      <c r="P110" s="54">
        <f t="shared" si="52"/>
        <v>0</v>
      </c>
    </row>
    <row r="111" spans="1:16" ht="12.5">
      <c r="B111" s="7" t="str">
        <f t="shared" si="47"/>
        <v/>
      </c>
      <c r="C111" s="50">
        <f>IF(D93="","-",+C110+1)</f>
        <v>2018</v>
      </c>
      <c r="D111" s="349">
        <v>44077</v>
      </c>
      <c r="E111" s="352">
        <v>1305</v>
      </c>
      <c r="F111" s="351">
        <v>42772</v>
      </c>
      <c r="G111" s="351">
        <v>43424.5</v>
      </c>
      <c r="H111" s="352">
        <v>5766.2406216754998</v>
      </c>
      <c r="I111" s="353">
        <v>5766.2406216754998</v>
      </c>
      <c r="J111" s="54">
        <f t="shared" si="43"/>
        <v>0</v>
      </c>
      <c r="K111" s="54"/>
      <c r="L111" s="379">
        <f t="shared" si="53"/>
        <v>5766.2406216754998</v>
      </c>
      <c r="M111" s="380">
        <f t="shared" ref="M111" si="55">IF(L111&lt;&gt;0,+H111-L111,0)</f>
        <v>0</v>
      </c>
      <c r="N111" s="379">
        <f t="shared" si="54"/>
        <v>5766.2406216754998</v>
      </c>
      <c r="O111" s="54">
        <f t="shared" ref="O111" si="56">IF(N111&lt;&gt;0,+I111-N111,0)</f>
        <v>0</v>
      </c>
      <c r="P111" s="54">
        <f t="shared" ref="P111" si="57">+O111-M111</f>
        <v>0</v>
      </c>
    </row>
    <row r="112" spans="1:16" ht="12.5">
      <c r="B112" s="7" t="str">
        <f t="shared" si="47"/>
        <v/>
      </c>
      <c r="C112" s="50">
        <f>IF(D93="","-",+C111+1)</f>
        <v>2019</v>
      </c>
      <c r="D112" s="349">
        <v>42772</v>
      </c>
      <c r="E112" s="352">
        <v>1369</v>
      </c>
      <c r="F112" s="351">
        <v>41403</v>
      </c>
      <c r="G112" s="351">
        <v>42087.5</v>
      </c>
      <c r="H112" s="352">
        <v>5708.8115726685282</v>
      </c>
      <c r="I112" s="353">
        <v>5708.8115726685282</v>
      </c>
      <c r="J112" s="54">
        <f t="shared" si="43"/>
        <v>0</v>
      </c>
      <c r="K112" s="54"/>
      <c r="L112" s="379">
        <f t="shared" si="53"/>
        <v>5708.8115726685282</v>
      </c>
      <c r="M112" s="380">
        <f t="shared" ref="M112:M113" si="58">IF(L112&lt;&gt;0,+H112-L112,0)</f>
        <v>0</v>
      </c>
      <c r="N112" s="379">
        <f t="shared" si="54"/>
        <v>5708.8115726685282</v>
      </c>
      <c r="O112" s="54">
        <f t="shared" si="45"/>
        <v>0</v>
      </c>
      <c r="P112" s="54">
        <f t="shared" si="46"/>
        <v>0</v>
      </c>
    </row>
    <row r="113" spans="2:16" ht="12.5">
      <c r="B113" s="7" t="str">
        <f t="shared" si="47"/>
        <v/>
      </c>
      <c r="C113" s="50">
        <f>IF(D93="","-",+C112+1)</f>
        <v>2020</v>
      </c>
      <c r="D113" s="349">
        <v>41403</v>
      </c>
      <c r="E113" s="352">
        <v>1305</v>
      </c>
      <c r="F113" s="351">
        <v>40098</v>
      </c>
      <c r="G113" s="351">
        <v>40750.5</v>
      </c>
      <c r="H113" s="352">
        <v>6003.4206157380368</v>
      </c>
      <c r="I113" s="353">
        <v>6003.4206157380368</v>
      </c>
      <c r="J113" s="54">
        <f t="shared" si="43"/>
        <v>0</v>
      </c>
      <c r="K113" s="54"/>
      <c r="L113" s="379">
        <f t="shared" si="53"/>
        <v>6003.4206157380368</v>
      </c>
      <c r="M113" s="380">
        <f t="shared" si="58"/>
        <v>0</v>
      </c>
      <c r="N113" s="379">
        <f t="shared" si="54"/>
        <v>6003.4206157380368</v>
      </c>
      <c r="O113" s="54">
        <f t="shared" si="45"/>
        <v>0</v>
      </c>
      <c r="P113" s="54">
        <f t="shared" si="46"/>
        <v>0</v>
      </c>
    </row>
    <row r="114" spans="2:16" ht="12.5">
      <c r="B114" s="7" t="str">
        <f t="shared" si="47"/>
        <v/>
      </c>
      <c r="C114" s="50">
        <f>IF(D93="","-",+C113+1)</f>
        <v>2021</v>
      </c>
      <c r="D114" s="349">
        <v>40098</v>
      </c>
      <c r="E114" s="352">
        <v>1369</v>
      </c>
      <c r="F114" s="351">
        <v>38729</v>
      </c>
      <c r="G114" s="351">
        <v>39413.5</v>
      </c>
      <c r="H114" s="352">
        <v>5853.9722481455983</v>
      </c>
      <c r="I114" s="353">
        <v>5853.9722481455983</v>
      </c>
      <c r="J114" s="54">
        <f t="shared" si="43"/>
        <v>0</v>
      </c>
      <c r="K114" s="54"/>
      <c r="L114" s="379">
        <f t="shared" ref="L114" si="59">H114</f>
        <v>5853.9722481455983</v>
      </c>
      <c r="M114" s="380">
        <f t="shared" ref="M114" si="60">IF(L114&lt;&gt;0,+H114-L114,0)</f>
        <v>0</v>
      </c>
      <c r="N114" s="379">
        <f t="shared" ref="N114" si="61">I114</f>
        <v>5853.9722481455983</v>
      </c>
      <c r="O114" s="54">
        <f t="shared" ref="O114" si="62">IF(N114&lt;&gt;0,+I114-N114,0)</f>
        <v>0</v>
      </c>
      <c r="P114" s="54">
        <f t="shared" ref="P114" si="63">+O114-M114</f>
        <v>0</v>
      </c>
    </row>
    <row r="115" spans="2:16" ht="12.5">
      <c r="B115" s="7" t="str">
        <f t="shared" si="47"/>
        <v/>
      </c>
      <c r="C115" s="450">
        <f>IF(D93="","-",+C114+1)</f>
        <v>2022</v>
      </c>
      <c r="D115" s="349">
        <v>38729</v>
      </c>
      <c r="E115" s="352">
        <v>1439</v>
      </c>
      <c r="F115" s="351">
        <v>37290</v>
      </c>
      <c r="G115" s="351">
        <v>38009.5</v>
      </c>
      <c r="H115" s="352">
        <v>5626.9875444770105</v>
      </c>
      <c r="I115" s="353">
        <v>5626.9875444770105</v>
      </c>
      <c r="J115" s="54">
        <f t="shared" si="43"/>
        <v>0</v>
      </c>
      <c r="K115" s="54"/>
      <c r="L115" s="379">
        <f t="shared" ref="L115:L116" si="64">H115</f>
        <v>5626.9875444770105</v>
      </c>
      <c r="M115" s="380">
        <f t="shared" ref="M115:M116" si="65">IF(L115&lt;&gt;0,+H115-L115,0)</f>
        <v>0</v>
      </c>
      <c r="N115" s="379">
        <f t="shared" ref="N115:N116" si="66">I115</f>
        <v>5626.9875444770105</v>
      </c>
      <c r="O115" s="54">
        <f t="shared" ref="O115:O116" si="67">IF(N115&lt;&gt;0,+I115-N115,0)</f>
        <v>0</v>
      </c>
      <c r="P115" s="54">
        <f t="shared" ref="P115:P116" si="68">+O115-M115</f>
        <v>0</v>
      </c>
    </row>
    <row r="116" spans="2:16" ht="12.5">
      <c r="B116" s="7" t="str">
        <f t="shared" si="47"/>
        <v/>
      </c>
      <c r="C116" s="50">
        <f>IF(D93="","-",+C115+1)</f>
        <v>2023</v>
      </c>
      <c r="D116" s="349">
        <v>37290</v>
      </c>
      <c r="E116" s="352">
        <v>1477</v>
      </c>
      <c r="F116" s="351">
        <v>35813</v>
      </c>
      <c r="G116" s="351">
        <v>36551.5</v>
      </c>
      <c r="H116" s="352">
        <v>5652.1701297565614</v>
      </c>
      <c r="I116" s="353">
        <v>5652.1701297565614</v>
      </c>
      <c r="J116" s="54">
        <f t="shared" si="43"/>
        <v>0</v>
      </c>
      <c r="K116" s="54"/>
      <c r="L116" s="379">
        <f t="shared" si="64"/>
        <v>5652.1701297565614</v>
      </c>
      <c r="M116" s="380">
        <f t="shared" si="65"/>
        <v>0</v>
      </c>
      <c r="N116" s="379">
        <f t="shared" si="66"/>
        <v>5652.1701297565614</v>
      </c>
      <c r="O116" s="54">
        <f t="shared" si="67"/>
        <v>0</v>
      </c>
      <c r="P116" s="54">
        <f t="shared" si="68"/>
        <v>0</v>
      </c>
    </row>
    <row r="117" spans="2:16" ht="12.5">
      <c r="B117" s="7" t="str">
        <f t="shared" si="47"/>
        <v/>
      </c>
      <c r="C117" s="50">
        <f>IF(D93="","-",+C116+1)</f>
        <v>2024</v>
      </c>
      <c r="D117" s="349">
        <v>35813</v>
      </c>
      <c r="E117" s="352">
        <v>1477</v>
      </c>
      <c r="F117" s="351">
        <v>34336</v>
      </c>
      <c r="G117" s="351">
        <v>35074.5</v>
      </c>
      <c r="H117" s="352">
        <v>6188.1615853848334</v>
      </c>
      <c r="I117" s="353">
        <v>6188.1615853848334</v>
      </c>
      <c r="J117" s="54">
        <f t="shared" si="43"/>
        <v>0</v>
      </c>
      <c r="K117" s="54"/>
      <c r="L117" s="379">
        <f t="shared" ref="L117" si="69">H117</f>
        <v>6188.1615853848334</v>
      </c>
      <c r="M117" s="380">
        <f t="shared" ref="M117" si="70">IF(L117&lt;&gt;0,+H117-L117,0)</f>
        <v>0</v>
      </c>
      <c r="N117" s="379">
        <f t="shared" ref="N117" si="71">I117</f>
        <v>6188.1615853848334</v>
      </c>
      <c r="O117" s="54">
        <f t="shared" ref="O117" si="72">IF(N117&lt;&gt;0,+I117-N117,0)</f>
        <v>0</v>
      </c>
      <c r="P117" s="54">
        <f t="shared" ref="P117" si="73">+O117-M117</f>
        <v>0</v>
      </c>
    </row>
    <row r="118" spans="2:16" ht="12.5">
      <c r="B118" s="7" t="str">
        <f t="shared" si="47"/>
        <v/>
      </c>
      <c r="C118" s="50">
        <f>IF(D93="","-",+C117+1)</f>
        <v>2025</v>
      </c>
      <c r="D118" s="12">
        <f>IF(F117+SUM(E$99:E117)=D$92,F117,D$92-SUM(E$99:E117))</f>
        <v>34336</v>
      </c>
      <c r="E118" s="355">
        <f>IF(+J96&lt;F117,J96,D118)</f>
        <v>1517</v>
      </c>
      <c r="F118" s="55">
        <f t="shared" ref="F118:F130" si="74">+D118-E118</f>
        <v>32819</v>
      </c>
      <c r="G118" s="55">
        <f t="shared" ref="G118:G130" si="75">+(F118+D118)/2</f>
        <v>33577.5</v>
      </c>
      <c r="H118" s="356">
        <f t="shared" ref="H118:H154" si="76">+J$94*G118+E118</f>
        <v>6027.0864768780521</v>
      </c>
      <c r="I118" s="381">
        <f t="shared" ref="I118:I154" si="77">+J$95*G118+E118</f>
        <v>6027.0864768780521</v>
      </c>
      <c r="J118" s="54">
        <f t="shared" si="43"/>
        <v>0</v>
      </c>
      <c r="K118" s="54"/>
      <c r="L118" s="115"/>
      <c r="M118" s="54">
        <f t="shared" si="44"/>
        <v>0</v>
      </c>
      <c r="N118" s="115"/>
      <c r="O118" s="54">
        <f t="shared" si="45"/>
        <v>0</v>
      </c>
      <c r="P118" s="54">
        <f t="shared" si="46"/>
        <v>0</v>
      </c>
    </row>
    <row r="119" spans="2:16" ht="12.5">
      <c r="B119" s="7" t="str">
        <f t="shared" si="47"/>
        <v/>
      </c>
      <c r="C119" s="50">
        <f>IF(D93="","-",+C118+1)</f>
        <v>2026</v>
      </c>
      <c r="D119" s="12">
        <f>IF(F118+SUM(E$99:E118)=D$92,F118,D$92-SUM(E$99:E118))</f>
        <v>32819</v>
      </c>
      <c r="E119" s="355">
        <f>IF(+J96&lt;F118,J96,D119)</f>
        <v>1517</v>
      </c>
      <c r="F119" s="55">
        <f t="shared" si="74"/>
        <v>31302</v>
      </c>
      <c r="G119" s="55">
        <f t="shared" si="75"/>
        <v>32060.5</v>
      </c>
      <c r="H119" s="356">
        <f t="shared" si="76"/>
        <v>5823.3249941761242</v>
      </c>
      <c r="I119" s="381">
        <f t="shared" si="77"/>
        <v>5823.3249941761242</v>
      </c>
      <c r="J119" s="54">
        <f t="shared" si="43"/>
        <v>0</v>
      </c>
      <c r="K119" s="54"/>
      <c r="L119" s="115"/>
      <c r="M119" s="54">
        <f t="shared" si="44"/>
        <v>0</v>
      </c>
      <c r="N119" s="115"/>
      <c r="O119" s="54">
        <f t="shared" si="45"/>
        <v>0</v>
      </c>
      <c r="P119" s="54">
        <f t="shared" si="46"/>
        <v>0</v>
      </c>
    </row>
    <row r="120" spans="2:16" ht="12.5">
      <c r="B120" s="7" t="str">
        <f t="shared" si="47"/>
        <v/>
      </c>
      <c r="C120" s="50">
        <f>IF(D93="","-",+C119+1)</f>
        <v>2027</v>
      </c>
      <c r="D120" s="12">
        <f>IF(F119+SUM(E$99:E119)=D$92,F119,D$92-SUM(E$99:E119))</f>
        <v>31302</v>
      </c>
      <c r="E120" s="355">
        <f>IF(+J96&lt;F119,J96,D120)</f>
        <v>1517</v>
      </c>
      <c r="F120" s="55">
        <f t="shared" si="74"/>
        <v>29785</v>
      </c>
      <c r="G120" s="55">
        <f t="shared" si="75"/>
        <v>30543.5</v>
      </c>
      <c r="H120" s="356">
        <f t="shared" si="76"/>
        <v>5619.5635114741954</v>
      </c>
      <c r="I120" s="381">
        <f t="shared" si="77"/>
        <v>5619.5635114741954</v>
      </c>
      <c r="J120" s="54">
        <f t="shared" si="43"/>
        <v>0</v>
      </c>
      <c r="K120" s="54"/>
      <c r="L120" s="115"/>
      <c r="M120" s="54">
        <f t="shared" si="44"/>
        <v>0</v>
      </c>
      <c r="N120" s="115"/>
      <c r="O120" s="54">
        <f t="shared" si="45"/>
        <v>0</v>
      </c>
      <c r="P120" s="54">
        <f t="shared" si="46"/>
        <v>0</v>
      </c>
    </row>
    <row r="121" spans="2:16" ht="12.5">
      <c r="B121" s="7" t="str">
        <f t="shared" si="47"/>
        <v/>
      </c>
      <c r="C121" s="50">
        <f>IF(D93="","-",+C120+1)</f>
        <v>2028</v>
      </c>
      <c r="D121" s="12">
        <f>IF(F120+SUM(E$99:E120)=D$92,F120,D$92-SUM(E$99:E120))</f>
        <v>29785</v>
      </c>
      <c r="E121" s="355">
        <f>IF(+J96&lt;F120,J96,D121)</f>
        <v>1517</v>
      </c>
      <c r="F121" s="55">
        <f t="shared" si="74"/>
        <v>28268</v>
      </c>
      <c r="G121" s="55">
        <f t="shared" si="75"/>
        <v>29026.5</v>
      </c>
      <c r="H121" s="356">
        <f t="shared" si="76"/>
        <v>5415.8020287722666</v>
      </c>
      <c r="I121" s="381">
        <f t="shared" si="77"/>
        <v>5415.8020287722666</v>
      </c>
      <c r="J121" s="54">
        <f t="shared" si="43"/>
        <v>0</v>
      </c>
      <c r="K121" s="54"/>
      <c r="L121" s="115"/>
      <c r="M121" s="54">
        <f t="shared" si="44"/>
        <v>0</v>
      </c>
      <c r="N121" s="115"/>
      <c r="O121" s="54">
        <f t="shared" si="45"/>
        <v>0</v>
      </c>
      <c r="P121" s="54">
        <f t="shared" si="46"/>
        <v>0</v>
      </c>
    </row>
    <row r="122" spans="2:16" ht="12.5">
      <c r="B122" s="7" t="str">
        <f t="shared" si="47"/>
        <v/>
      </c>
      <c r="C122" s="50">
        <f>IF(D93="","-",+C121+1)</f>
        <v>2029</v>
      </c>
      <c r="D122" s="12">
        <f>IF(F121+SUM(E$99:E121)=D$92,F121,D$92-SUM(E$99:E121))</f>
        <v>28268</v>
      </c>
      <c r="E122" s="355">
        <f>IF(+J96&lt;F121,J96,D122)</f>
        <v>1517</v>
      </c>
      <c r="F122" s="55">
        <f t="shared" si="74"/>
        <v>26751</v>
      </c>
      <c r="G122" s="55">
        <f t="shared" si="75"/>
        <v>27509.5</v>
      </c>
      <c r="H122" s="356">
        <f t="shared" si="76"/>
        <v>5212.0405460703387</v>
      </c>
      <c r="I122" s="381">
        <f t="shared" si="77"/>
        <v>5212.0405460703387</v>
      </c>
      <c r="J122" s="54">
        <f t="shared" si="43"/>
        <v>0</v>
      </c>
      <c r="K122" s="54"/>
      <c r="L122" s="115"/>
      <c r="M122" s="54">
        <f t="shared" si="44"/>
        <v>0</v>
      </c>
      <c r="N122" s="115"/>
      <c r="O122" s="54">
        <f t="shared" si="45"/>
        <v>0</v>
      </c>
      <c r="P122" s="54">
        <f t="shared" si="46"/>
        <v>0</v>
      </c>
    </row>
    <row r="123" spans="2:16" ht="12.5">
      <c r="B123" s="7" t="str">
        <f t="shared" si="47"/>
        <v/>
      </c>
      <c r="C123" s="50">
        <f>IF(D93="","-",+C122+1)</f>
        <v>2030</v>
      </c>
      <c r="D123" s="12">
        <f>IF(F122+SUM(E$99:E122)=D$92,F122,D$92-SUM(E$99:E122))</f>
        <v>26751</v>
      </c>
      <c r="E123" s="355">
        <f>IF(+J96&lt;F122,J96,D123)</f>
        <v>1517</v>
      </c>
      <c r="F123" s="55">
        <f t="shared" si="74"/>
        <v>25234</v>
      </c>
      <c r="G123" s="55">
        <f t="shared" si="75"/>
        <v>25992.5</v>
      </c>
      <c r="H123" s="356">
        <f t="shared" si="76"/>
        <v>5008.279063368409</v>
      </c>
      <c r="I123" s="381">
        <f t="shared" si="77"/>
        <v>5008.279063368409</v>
      </c>
      <c r="J123" s="54">
        <f t="shared" si="43"/>
        <v>0</v>
      </c>
      <c r="K123" s="54"/>
      <c r="L123" s="115"/>
      <c r="M123" s="54">
        <f t="shared" si="44"/>
        <v>0</v>
      </c>
      <c r="N123" s="115"/>
      <c r="O123" s="54">
        <f t="shared" si="45"/>
        <v>0</v>
      </c>
      <c r="P123" s="54">
        <f t="shared" si="46"/>
        <v>0</v>
      </c>
    </row>
    <row r="124" spans="2:16" ht="12.5">
      <c r="B124" s="7" t="str">
        <f t="shared" si="47"/>
        <v/>
      </c>
      <c r="C124" s="50">
        <f>IF(D93="","-",+C123+1)</f>
        <v>2031</v>
      </c>
      <c r="D124" s="12">
        <f>IF(F123+SUM(E$99:E123)=D$92,F123,D$92-SUM(E$99:E123))</f>
        <v>25234</v>
      </c>
      <c r="E124" s="355">
        <f>IF(+J96&lt;F123,J96,D124)</f>
        <v>1517</v>
      </c>
      <c r="F124" s="55">
        <f t="shared" si="74"/>
        <v>23717</v>
      </c>
      <c r="G124" s="55">
        <f t="shared" si="75"/>
        <v>24475.5</v>
      </c>
      <c r="H124" s="356">
        <f t="shared" si="76"/>
        <v>4804.5175806664811</v>
      </c>
      <c r="I124" s="381">
        <f t="shared" si="77"/>
        <v>4804.5175806664811</v>
      </c>
      <c r="J124" s="54">
        <f t="shared" si="43"/>
        <v>0</v>
      </c>
      <c r="K124" s="54"/>
      <c r="L124" s="115"/>
      <c r="M124" s="54">
        <f t="shared" si="44"/>
        <v>0</v>
      </c>
      <c r="N124" s="115"/>
      <c r="O124" s="54">
        <f t="shared" si="45"/>
        <v>0</v>
      </c>
      <c r="P124" s="54">
        <f t="shared" si="46"/>
        <v>0</v>
      </c>
    </row>
    <row r="125" spans="2:16" ht="12.5">
      <c r="B125" s="7" t="str">
        <f t="shared" si="47"/>
        <v/>
      </c>
      <c r="C125" s="50">
        <f>IF(D93="","-",+C124+1)</f>
        <v>2032</v>
      </c>
      <c r="D125" s="12">
        <f>IF(F124+SUM(E$99:E124)=D$92,F124,D$92-SUM(E$99:E124))</f>
        <v>23717</v>
      </c>
      <c r="E125" s="355">
        <f>IF(+J96&lt;F124,J96,D125)</f>
        <v>1517</v>
      </c>
      <c r="F125" s="55">
        <f t="shared" si="74"/>
        <v>22200</v>
      </c>
      <c r="G125" s="55">
        <f t="shared" si="75"/>
        <v>22958.5</v>
      </c>
      <c r="H125" s="356">
        <f t="shared" si="76"/>
        <v>4600.7560979645532</v>
      </c>
      <c r="I125" s="381">
        <f t="shared" si="77"/>
        <v>4600.7560979645532</v>
      </c>
      <c r="J125" s="54">
        <f t="shared" si="43"/>
        <v>0</v>
      </c>
      <c r="K125" s="54"/>
      <c r="L125" s="115"/>
      <c r="M125" s="54">
        <f t="shared" si="44"/>
        <v>0</v>
      </c>
      <c r="N125" s="115"/>
      <c r="O125" s="54">
        <f t="shared" si="45"/>
        <v>0</v>
      </c>
      <c r="P125" s="54">
        <f t="shared" si="46"/>
        <v>0</v>
      </c>
    </row>
    <row r="126" spans="2:16" ht="12.5">
      <c r="B126" s="7" t="str">
        <f t="shared" si="47"/>
        <v/>
      </c>
      <c r="C126" s="50">
        <f>IF(D93="","-",+C125+1)</f>
        <v>2033</v>
      </c>
      <c r="D126" s="12">
        <f>IF(F125+SUM(E$99:E125)=D$92,F125,D$92-SUM(E$99:E125))</f>
        <v>22200</v>
      </c>
      <c r="E126" s="355">
        <f>IF(+J96&lt;F125,J96,D126)</f>
        <v>1517</v>
      </c>
      <c r="F126" s="55">
        <f t="shared" si="74"/>
        <v>20683</v>
      </c>
      <c r="G126" s="55">
        <f t="shared" si="75"/>
        <v>21441.5</v>
      </c>
      <c r="H126" s="356">
        <f t="shared" si="76"/>
        <v>4396.9946152626235</v>
      </c>
      <c r="I126" s="381">
        <f t="shared" si="77"/>
        <v>4396.9946152626235</v>
      </c>
      <c r="J126" s="54">
        <f t="shared" si="43"/>
        <v>0</v>
      </c>
      <c r="K126" s="54"/>
      <c r="L126" s="115"/>
      <c r="M126" s="54">
        <f t="shared" si="44"/>
        <v>0</v>
      </c>
      <c r="N126" s="115"/>
      <c r="O126" s="54">
        <f t="shared" si="45"/>
        <v>0</v>
      </c>
      <c r="P126" s="54">
        <f t="shared" si="46"/>
        <v>0</v>
      </c>
    </row>
    <row r="127" spans="2:16" ht="12.5">
      <c r="B127" s="7" t="str">
        <f t="shared" si="47"/>
        <v/>
      </c>
      <c r="C127" s="50">
        <f>IF(D93="","-",+C126+1)</f>
        <v>2034</v>
      </c>
      <c r="D127" s="12">
        <f>IF(F126+SUM(E$99:E126)=D$92,F126,D$92-SUM(E$99:E126))</f>
        <v>20683</v>
      </c>
      <c r="E127" s="355">
        <f>IF(+J96&lt;F126,J96,D127)</f>
        <v>1517</v>
      </c>
      <c r="F127" s="55">
        <f t="shared" si="74"/>
        <v>19166</v>
      </c>
      <c r="G127" s="55">
        <f t="shared" si="75"/>
        <v>19924.5</v>
      </c>
      <c r="H127" s="356">
        <f t="shared" si="76"/>
        <v>4193.2331325606956</v>
      </c>
      <c r="I127" s="381">
        <f t="shared" si="77"/>
        <v>4193.2331325606956</v>
      </c>
      <c r="J127" s="54">
        <f t="shared" si="43"/>
        <v>0</v>
      </c>
      <c r="K127" s="54"/>
      <c r="L127" s="115"/>
      <c r="M127" s="54">
        <f t="shared" si="44"/>
        <v>0</v>
      </c>
      <c r="N127" s="115"/>
      <c r="O127" s="54">
        <f t="shared" si="45"/>
        <v>0</v>
      </c>
      <c r="P127" s="54">
        <f t="shared" si="46"/>
        <v>0</v>
      </c>
    </row>
    <row r="128" spans="2:16" ht="12.5">
      <c r="B128" s="7" t="str">
        <f t="shared" si="47"/>
        <v/>
      </c>
      <c r="C128" s="50">
        <f>IF(D93="","-",+C127+1)</f>
        <v>2035</v>
      </c>
      <c r="D128" s="12">
        <f>IF(F127+SUM(E$99:E127)=D$92,F127,D$92-SUM(E$99:E127))</f>
        <v>19166</v>
      </c>
      <c r="E128" s="355">
        <f>IF(+J96&lt;F127,J96,D128)</f>
        <v>1517</v>
      </c>
      <c r="F128" s="55">
        <f t="shared" si="74"/>
        <v>17649</v>
      </c>
      <c r="G128" s="55">
        <f t="shared" si="75"/>
        <v>18407.5</v>
      </c>
      <c r="H128" s="356">
        <f t="shared" si="76"/>
        <v>3989.4716498587668</v>
      </c>
      <c r="I128" s="381">
        <f t="shared" si="77"/>
        <v>3989.4716498587668</v>
      </c>
      <c r="J128" s="54">
        <f t="shared" si="43"/>
        <v>0</v>
      </c>
      <c r="K128" s="54"/>
      <c r="L128" s="115"/>
      <c r="M128" s="54">
        <f t="shared" si="44"/>
        <v>0</v>
      </c>
      <c r="N128" s="115"/>
      <c r="O128" s="54">
        <f t="shared" si="45"/>
        <v>0</v>
      </c>
      <c r="P128" s="54">
        <f t="shared" si="46"/>
        <v>0</v>
      </c>
    </row>
    <row r="129" spans="2:16" ht="12.5">
      <c r="B129" s="7" t="str">
        <f t="shared" si="47"/>
        <v/>
      </c>
      <c r="C129" s="50">
        <f>IF(D93="","-",+C128+1)</f>
        <v>2036</v>
      </c>
      <c r="D129" s="12">
        <f>IF(F128+SUM(E$99:E128)=D$92,F128,D$92-SUM(E$99:E128))</f>
        <v>17649</v>
      </c>
      <c r="E129" s="355">
        <f>IF(+J96&lt;F128,J96,D129)</f>
        <v>1517</v>
      </c>
      <c r="F129" s="55">
        <f t="shared" si="74"/>
        <v>16132</v>
      </c>
      <c r="G129" s="55">
        <f t="shared" si="75"/>
        <v>16890.5</v>
      </c>
      <c r="H129" s="356">
        <f t="shared" si="76"/>
        <v>3785.7101671568385</v>
      </c>
      <c r="I129" s="381">
        <f t="shared" si="77"/>
        <v>3785.7101671568385</v>
      </c>
      <c r="J129" s="54">
        <f t="shared" si="43"/>
        <v>0</v>
      </c>
      <c r="K129" s="54"/>
      <c r="L129" s="115"/>
      <c r="M129" s="54">
        <f t="shared" si="44"/>
        <v>0</v>
      </c>
      <c r="N129" s="115"/>
      <c r="O129" s="54">
        <f t="shared" si="45"/>
        <v>0</v>
      </c>
      <c r="P129" s="54">
        <f t="shared" si="46"/>
        <v>0</v>
      </c>
    </row>
    <row r="130" spans="2:16" ht="12.5">
      <c r="B130" s="7" t="str">
        <f t="shared" si="47"/>
        <v/>
      </c>
      <c r="C130" s="50">
        <f>IF(D93="","-",+C129+1)</f>
        <v>2037</v>
      </c>
      <c r="D130" s="12">
        <f>IF(F129+SUM(E$99:E129)=D$92,F129,D$92-SUM(E$99:E129))</f>
        <v>16132</v>
      </c>
      <c r="E130" s="355">
        <f>IF(+J96&lt;F129,J96,D130)</f>
        <v>1517</v>
      </c>
      <c r="F130" s="55">
        <f t="shared" si="74"/>
        <v>14615</v>
      </c>
      <c r="G130" s="55">
        <f t="shared" si="75"/>
        <v>15373.5</v>
      </c>
      <c r="H130" s="356">
        <f t="shared" si="76"/>
        <v>3581.9486844549101</v>
      </c>
      <c r="I130" s="381">
        <f t="shared" si="77"/>
        <v>3581.9486844549101</v>
      </c>
      <c r="J130" s="54">
        <f t="shared" si="43"/>
        <v>0</v>
      </c>
      <c r="K130" s="54"/>
      <c r="L130" s="115"/>
      <c r="M130" s="54">
        <f t="shared" si="44"/>
        <v>0</v>
      </c>
      <c r="N130" s="115"/>
      <c r="O130" s="54">
        <f t="shared" si="45"/>
        <v>0</v>
      </c>
      <c r="P130" s="54">
        <f t="shared" si="46"/>
        <v>0</v>
      </c>
    </row>
    <row r="131" spans="2:16" ht="12.5">
      <c r="B131" s="7" t="str">
        <f t="shared" si="47"/>
        <v/>
      </c>
      <c r="C131" s="50">
        <f>IF(D93="","-",+C130+1)</f>
        <v>2038</v>
      </c>
      <c r="D131" s="12">
        <f>IF(F130+SUM(E$99:E130)=D$92,F130,D$92-SUM(E$99:E130))</f>
        <v>14615</v>
      </c>
      <c r="E131" s="355">
        <f>IF(+J96&lt;F130,J96,D131)</f>
        <v>1517</v>
      </c>
      <c r="F131" s="55">
        <f t="shared" ref="F131:F154" si="78">+D131-E131</f>
        <v>13098</v>
      </c>
      <c r="G131" s="55">
        <f t="shared" ref="G131:G154" si="79">+(F131+D131)/2</f>
        <v>13856.5</v>
      </c>
      <c r="H131" s="356">
        <f t="shared" si="76"/>
        <v>3378.1872017529813</v>
      </c>
      <c r="I131" s="381">
        <f t="shared" si="77"/>
        <v>3378.1872017529813</v>
      </c>
      <c r="J131" s="54">
        <f t="shared" ref="J131:J154" si="80">+I131-H131</f>
        <v>0</v>
      </c>
      <c r="K131" s="54"/>
      <c r="L131" s="115"/>
      <c r="M131" s="54">
        <f t="shared" ref="M131:M154" si="81">IF(L131&lt;&gt;0,+H131-L131,0)</f>
        <v>0</v>
      </c>
      <c r="N131" s="115"/>
      <c r="O131" s="54">
        <f t="shared" ref="O131:O154" si="82">IF(N131&lt;&gt;0,+I131-N131,0)</f>
        <v>0</v>
      </c>
      <c r="P131" s="54">
        <f t="shared" ref="P131:P154" si="83">+O131-M131</f>
        <v>0</v>
      </c>
    </row>
    <row r="132" spans="2:16" ht="12.5">
      <c r="B132" s="7" t="str">
        <f t="shared" si="47"/>
        <v/>
      </c>
      <c r="C132" s="50">
        <f>IF(D93="","-",+C131+1)</f>
        <v>2039</v>
      </c>
      <c r="D132" s="12">
        <f>IF(F131+SUM(E$99:E131)=D$92,F131,D$92-SUM(E$99:E131))</f>
        <v>13098</v>
      </c>
      <c r="E132" s="355">
        <f>IF(+J96&lt;F131,J96,D132)</f>
        <v>1517</v>
      </c>
      <c r="F132" s="55">
        <f t="shared" si="78"/>
        <v>11581</v>
      </c>
      <c r="G132" s="55">
        <f t="shared" si="79"/>
        <v>12339.5</v>
      </c>
      <c r="H132" s="356">
        <f t="shared" si="76"/>
        <v>3174.4257190510525</v>
      </c>
      <c r="I132" s="381">
        <f t="shared" si="77"/>
        <v>3174.4257190510525</v>
      </c>
      <c r="J132" s="54">
        <f t="shared" si="80"/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 ht="12.5">
      <c r="B133" s="7" t="str">
        <f t="shared" si="47"/>
        <v/>
      </c>
      <c r="C133" s="50">
        <f>IF(D93="","-",+C132+1)</f>
        <v>2040</v>
      </c>
      <c r="D133" s="12">
        <f>IF(F132+SUM(E$99:E132)=D$92,F132,D$92-SUM(E$99:E132))</f>
        <v>11581</v>
      </c>
      <c r="E133" s="355">
        <f>IF(+J96&lt;F132,J96,D133)</f>
        <v>1517</v>
      </c>
      <c r="F133" s="55">
        <f t="shared" si="78"/>
        <v>10064</v>
      </c>
      <c r="G133" s="55">
        <f t="shared" si="79"/>
        <v>10822.5</v>
      </c>
      <c r="H133" s="356">
        <f t="shared" si="76"/>
        <v>2970.6642363491246</v>
      </c>
      <c r="I133" s="381">
        <f t="shared" si="77"/>
        <v>2970.6642363491246</v>
      </c>
      <c r="J133" s="54">
        <f t="shared" si="80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 ht="12.5">
      <c r="B134" s="7" t="str">
        <f t="shared" si="47"/>
        <v/>
      </c>
      <c r="C134" s="50">
        <f>IF(D93="","-",+C133+1)</f>
        <v>2041</v>
      </c>
      <c r="D134" s="12">
        <f>IF(F133+SUM(E$99:E133)=D$92,F133,D$92-SUM(E$99:E133))</f>
        <v>10064</v>
      </c>
      <c r="E134" s="355">
        <f>IF(+J96&lt;F133,J96,D134)</f>
        <v>1517</v>
      </c>
      <c r="F134" s="55">
        <f t="shared" si="78"/>
        <v>8547</v>
      </c>
      <c r="G134" s="55">
        <f t="shared" si="79"/>
        <v>9305.5</v>
      </c>
      <c r="H134" s="356">
        <f t="shared" si="76"/>
        <v>2766.9027536471958</v>
      </c>
      <c r="I134" s="381">
        <f t="shared" si="77"/>
        <v>2766.9027536471958</v>
      </c>
      <c r="J134" s="54">
        <f t="shared" si="80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 ht="12.5">
      <c r="B135" s="7" t="str">
        <f t="shared" si="47"/>
        <v/>
      </c>
      <c r="C135" s="50">
        <f>IF(D93="","-",+C134+1)</f>
        <v>2042</v>
      </c>
      <c r="D135" s="12">
        <f>IF(F134+SUM(E$99:E134)=D$92,F134,D$92-SUM(E$99:E134))</f>
        <v>8547</v>
      </c>
      <c r="E135" s="355">
        <f>IF(+J96&lt;F134,J96,D135)</f>
        <v>1517</v>
      </c>
      <c r="F135" s="55">
        <f t="shared" si="78"/>
        <v>7030</v>
      </c>
      <c r="G135" s="55">
        <f t="shared" si="79"/>
        <v>7788.5</v>
      </c>
      <c r="H135" s="356">
        <f t="shared" si="76"/>
        <v>2563.141270945267</v>
      </c>
      <c r="I135" s="381">
        <f t="shared" si="77"/>
        <v>2563.141270945267</v>
      </c>
      <c r="J135" s="54">
        <f t="shared" si="80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 ht="12.5">
      <c r="B136" s="7" t="str">
        <f t="shared" si="47"/>
        <v/>
      </c>
      <c r="C136" s="50">
        <f>IF(D93="","-",+C135+1)</f>
        <v>2043</v>
      </c>
      <c r="D136" s="12">
        <f>IF(F135+SUM(E$99:E135)=D$92,F135,D$92-SUM(E$99:E135))</f>
        <v>7030</v>
      </c>
      <c r="E136" s="355">
        <f>IF(+J96&lt;F135,J96,D136)</f>
        <v>1517</v>
      </c>
      <c r="F136" s="55">
        <f t="shared" si="78"/>
        <v>5513</v>
      </c>
      <c r="G136" s="55">
        <f t="shared" si="79"/>
        <v>6271.5</v>
      </c>
      <c r="H136" s="356">
        <f t="shared" si="76"/>
        <v>2359.3797882433387</v>
      </c>
      <c r="I136" s="381">
        <f t="shared" si="77"/>
        <v>2359.3797882433387</v>
      </c>
      <c r="J136" s="54">
        <f t="shared" si="80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 ht="12.5">
      <c r="B137" s="7" t="str">
        <f t="shared" si="47"/>
        <v/>
      </c>
      <c r="C137" s="50">
        <f>IF(D93="","-",+C136+1)</f>
        <v>2044</v>
      </c>
      <c r="D137" s="12">
        <f>IF(F136+SUM(E$99:E136)=D$92,F136,D$92-SUM(E$99:E136))</f>
        <v>5513</v>
      </c>
      <c r="E137" s="355">
        <f>IF(+J96&lt;F136,J96,D137)</f>
        <v>1517</v>
      </c>
      <c r="F137" s="55">
        <f t="shared" si="78"/>
        <v>3996</v>
      </c>
      <c r="G137" s="55">
        <f t="shared" si="79"/>
        <v>4754.5</v>
      </c>
      <c r="H137" s="356">
        <f t="shared" si="76"/>
        <v>2155.6183055414103</v>
      </c>
      <c r="I137" s="381">
        <f t="shared" si="77"/>
        <v>2155.6183055414103</v>
      </c>
      <c r="J137" s="54">
        <f t="shared" si="80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 ht="12.5">
      <c r="B138" s="7" t="str">
        <f t="shared" si="47"/>
        <v/>
      </c>
      <c r="C138" s="50">
        <f>IF(D93="","-",+C137+1)</f>
        <v>2045</v>
      </c>
      <c r="D138" s="12">
        <f>IF(F137+SUM(E$99:E137)=D$92,F137,D$92-SUM(E$99:E137))</f>
        <v>3996</v>
      </c>
      <c r="E138" s="355">
        <f>IF(+J96&lt;F137,J96,D138)</f>
        <v>1517</v>
      </c>
      <c r="F138" s="55">
        <f t="shared" si="78"/>
        <v>2479</v>
      </c>
      <c r="G138" s="55">
        <f t="shared" si="79"/>
        <v>3237.5</v>
      </c>
      <c r="H138" s="356">
        <f t="shared" si="76"/>
        <v>1951.8568228394815</v>
      </c>
      <c r="I138" s="381">
        <f t="shared" si="77"/>
        <v>1951.8568228394815</v>
      </c>
      <c r="J138" s="54">
        <f t="shared" si="80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 ht="12.5">
      <c r="B139" s="7" t="str">
        <f t="shared" si="47"/>
        <v/>
      </c>
      <c r="C139" s="50">
        <f>IF(D93="","-",+C138+1)</f>
        <v>2046</v>
      </c>
      <c r="D139" s="12">
        <f>IF(F138+SUM(E$99:E138)=D$92,F138,D$92-SUM(E$99:E138))</f>
        <v>2479</v>
      </c>
      <c r="E139" s="355">
        <f>IF(+J96&lt;F138,J96,D139)</f>
        <v>1517</v>
      </c>
      <c r="F139" s="55">
        <f t="shared" si="78"/>
        <v>962</v>
      </c>
      <c r="G139" s="55">
        <f t="shared" si="79"/>
        <v>1720.5</v>
      </c>
      <c r="H139" s="356">
        <f t="shared" si="76"/>
        <v>1748.0953401375532</v>
      </c>
      <c r="I139" s="381">
        <f t="shared" si="77"/>
        <v>1748.0953401375532</v>
      </c>
      <c r="J139" s="54">
        <f t="shared" si="80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 ht="12.5">
      <c r="B140" s="7" t="str">
        <f t="shared" si="47"/>
        <v/>
      </c>
      <c r="C140" s="50">
        <f>IF(D93="","-",+C139+1)</f>
        <v>2047</v>
      </c>
      <c r="D140" s="12">
        <f>IF(F139+SUM(E$99:E139)=D$92,F139,D$92-SUM(E$99:E139))</f>
        <v>962</v>
      </c>
      <c r="E140" s="355">
        <f>IF(+J96&lt;F139,J96,D140)</f>
        <v>962</v>
      </c>
      <c r="F140" s="55">
        <f t="shared" si="78"/>
        <v>0</v>
      </c>
      <c r="G140" s="55">
        <f t="shared" si="79"/>
        <v>481</v>
      </c>
      <c r="H140" s="356">
        <f t="shared" si="76"/>
        <v>1026.6072993932944</v>
      </c>
      <c r="I140" s="381">
        <f t="shared" si="77"/>
        <v>1026.6072993932944</v>
      </c>
      <c r="J140" s="54">
        <f t="shared" si="80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 ht="12.5">
      <c r="B141" s="7" t="str">
        <f t="shared" si="47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8"/>
        <v>0</v>
      </c>
      <c r="G141" s="55">
        <f t="shared" si="79"/>
        <v>0</v>
      </c>
      <c r="H141" s="356">
        <f t="shared" si="76"/>
        <v>0</v>
      </c>
      <c r="I141" s="381">
        <f t="shared" si="77"/>
        <v>0</v>
      </c>
      <c r="J141" s="54">
        <f t="shared" si="80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 ht="12.5">
      <c r="B142" s="7" t="str">
        <f t="shared" si="47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8"/>
        <v>0</v>
      </c>
      <c r="G142" s="55">
        <f t="shared" si="79"/>
        <v>0</v>
      </c>
      <c r="H142" s="356">
        <f t="shared" si="76"/>
        <v>0</v>
      </c>
      <c r="I142" s="381">
        <f t="shared" si="77"/>
        <v>0</v>
      </c>
      <c r="J142" s="54">
        <f t="shared" si="80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 ht="12.5">
      <c r="B143" s="7" t="str">
        <f t="shared" si="47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8"/>
        <v>0</v>
      </c>
      <c r="G143" s="55">
        <f t="shared" si="79"/>
        <v>0</v>
      </c>
      <c r="H143" s="356">
        <f t="shared" si="76"/>
        <v>0</v>
      </c>
      <c r="I143" s="381">
        <f t="shared" si="77"/>
        <v>0</v>
      </c>
      <c r="J143" s="54">
        <f t="shared" si="80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 ht="12.5">
      <c r="B144" s="7" t="str">
        <f t="shared" si="47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8"/>
        <v>0</v>
      </c>
      <c r="G144" s="55">
        <f t="shared" si="79"/>
        <v>0</v>
      </c>
      <c r="H144" s="356">
        <f t="shared" si="76"/>
        <v>0</v>
      </c>
      <c r="I144" s="381">
        <f t="shared" si="77"/>
        <v>0</v>
      </c>
      <c r="J144" s="54">
        <f t="shared" si="80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 ht="12.5">
      <c r="B145" s="7" t="str">
        <f t="shared" si="47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8"/>
        <v>0</v>
      </c>
      <c r="G145" s="55">
        <f t="shared" si="79"/>
        <v>0</v>
      </c>
      <c r="H145" s="356">
        <f t="shared" si="76"/>
        <v>0</v>
      </c>
      <c r="I145" s="381">
        <f t="shared" si="77"/>
        <v>0</v>
      </c>
      <c r="J145" s="54">
        <f t="shared" si="80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 ht="12.5">
      <c r="B146" s="7" t="str">
        <f t="shared" si="47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8"/>
        <v>0</v>
      </c>
      <c r="G146" s="55">
        <f t="shared" si="79"/>
        <v>0</v>
      </c>
      <c r="H146" s="356">
        <f t="shared" si="76"/>
        <v>0</v>
      </c>
      <c r="I146" s="381">
        <f t="shared" si="77"/>
        <v>0</v>
      </c>
      <c r="J146" s="54">
        <f t="shared" si="80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 ht="12.5">
      <c r="B147" s="7" t="str">
        <f t="shared" si="47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8"/>
        <v>0</v>
      </c>
      <c r="G147" s="55">
        <f t="shared" si="79"/>
        <v>0</v>
      </c>
      <c r="H147" s="356">
        <f t="shared" si="76"/>
        <v>0</v>
      </c>
      <c r="I147" s="381">
        <f t="shared" si="77"/>
        <v>0</v>
      </c>
      <c r="J147" s="54">
        <f t="shared" si="80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 ht="12.5">
      <c r="B148" s="7" t="str">
        <f t="shared" si="47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8"/>
        <v>0</v>
      </c>
      <c r="G148" s="55">
        <f t="shared" si="79"/>
        <v>0</v>
      </c>
      <c r="H148" s="356">
        <f t="shared" si="76"/>
        <v>0</v>
      </c>
      <c r="I148" s="381">
        <f t="shared" si="77"/>
        <v>0</v>
      </c>
      <c r="J148" s="54">
        <f t="shared" si="80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 ht="12.5">
      <c r="B149" s="7" t="str">
        <f t="shared" si="47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8"/>
        <v>0</v>
      </c>
      <c r="G149" s="55">
        <f t="shared" si="79"/>
        <v>0</v>
      </c>
      <c r="H149" s="356">
        <f t="shared" si="76"/>
        <v>0</v>
      </c>
      <c r="I149" s="381">
        <f t="shared" si="77"/>
        <v>0</v>
      </c>
      <c r="J149" s="54">
        <f t="shared" si="80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 ht="12.5">
      <c r="B150" s="7" t="str">
        <f t="shared" si="47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8"/>
        <v>0</v>
      </c>
      <c r="G150" s="55">
        <f t="shared" si="79"/>
        <v>0</v>
      </c>
      <c r="H150" s="356">
        <f t="shared" si="76"/>
        <v>0</v>
      </c>
      <c r="I150" s="381">
        <f t="shared" si="77"/>
        <v>0</v>
      </c>
      <c r="J150" s="54">
        <f t="shared" si="80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 ht="12.5">
      <c r="B151" s="7" t="str">
        <f t="shared" si="47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8"/>
        <v>0</v>
      </c>
      <c r="G151" s="55">
        <f t="shared" si="79"/>
        <v>0</v>
      </c>
      <c r="H151" s="356">
        <f t="shared" si="76"/>
        <v>0</v>
      </c>
      <c r="I151" s="381">
        <f t="shared" si="77"/>
        <v>0</v>
      </c>
      <c r="J151" s="54">
        <f t="shared" si="80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 ht="12.5">
      <c r="B152" s="7" t="str">
        <f t="shared" si="47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8"/>
        <v>0</v>
      </c>
      <c r="G152" s="55">
        <f t="shared" si="79"/>
        <v>0</v>
      </c>
      <c r="H152" s="356">
        <f t="shared" si="76"/>
        <v>0</v>
      </c>
      <c r="I152" s="381">
        <f t="shared" si="77"/>
        <v>0</v>
      </c>
      <c r="J152" s="54">
        <f t="shared" si="80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 ht="12.5">
      <c r="B153" s="7" t="str">
        <f t="shared" si="47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8"/>
        <v>0</v>
      </c>
      <c r="G153" s="55">
        <f t="shared" si="79"/>
        <v>0</v>
      </c>
      <c r="H153" s="356">
        <f t="shared" si="76"/>
        <v>0</v>
      </c>
      <c r="I153" s="381">
        <f t="shared" si="77"/>
        <v>0</v>
      </c>
      <c r="J153" s="54">
        <f t="shared" si="80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" thickBot="1">
      <c r="B154" s="7" t="str">
        <f t="shared" si="47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8"/>
        <v>0</v>
      </c>
      <c r="G154" s="59">
        <f t="shared" si="79"/>
        <v>0</v>
      </c>
      <c r="H154" s="358">
        <f t="shared" si="76"/>
        <v>0</v>
      </c>
      <c r="I154" s="383">
        <f t="shared" si="77"/>
        <v>0</v>
      </c>
      <c r="J154" s="62">
        <f t="shared" si="80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 ht="12.5">
      <c r="C155" s="12" t="s">
        <v>77</v>
      </c>
      <c r="D155" s="267"/>
      <c r="E155" s="267">
        <f>SUM(E99:E154)</f>
        <v>56133</v>
      </c>
      <c r="F155" s="267"/>
      <c r="G155" s="267"/>
      <c r="H155" s="267">
        <f>SUM(H99:H154)</f>
        <v>209551.73634429867</v>
      </c>
      <c r="I155" s="267">
        <f>SUM(I99:I154)</f>
        <v>209551.73634429867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>
    <tabColor rgb="FFC00000"/>
  </sheetPr>
  <dimension ref="A1:V162"/>
  <sheetViews>
    <sheetView topLeftCell="A74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9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6801.2621062915832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6801.2621062915832</v>
      </c>
      <c r="O6" s="1"/>
      <c r="P6" s="1"/>
    </row>
    <row r="7" spans="1:16" ht="13.5" thickBot="1">
      <c r="C7" s="26" t="s">
        <v>46</v>
      </c>
      <c r="D7" s="332" t="s">
        <v>216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88</v>
      </c>
      <c r="E9" s="404" t="s">
        <v>346</v>
      </c>
      <c r="F9" s="32"/>
      <c r="G9" s="452" t="s">
        <v>395</v>
      </c>
      <c r="H9" s="32"/>
      <c r="I9" s="33"/>
      <c r="J9" s="34"/>
      <c r="P9" s="1"/>
    </row>
    <row r="10" spans="1:16" ht="13">
      <c r="C10" s="128" t="s">
        <v>226</v>
      </c>
      <c r="D10" s="336">
        <v>72551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4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1909.2368421052631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2007</v>
      </c>
      <c r="D17" s="349">
        <v>72551</v>
      </c>
      <c r="E17" s="350">
        <v>863.70238095238085</v>
      </c>
      <c r="F17" s="349">
        <v>71687.297619047618</v>
      </c>
      <c r="G17" s="350">
        <v>11207.929543529199</v>
      </c>
      <c r="H17" s="353">
        <v>11207.929543529199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351">
        <v>71687.297619047618</v>
      </c>
      <c r="E18" s="352">
        <v>1295.5535714285713</v>
      </c>
      <c r="F18" s="351">
        <v>70391.744047619053</v>
      </c>
      <c r="G18" s="352">
        <v>11452.836869621469</v>
      </c>
      <c r="H18" s="353">
        <v>11452.836869621469</v>
      </c>
      <c r="I18" s="52">
        <f t="shared" si="0"/>
        <v>0</v>
      </c>
      <c r="J18" s="52"/>
      <c r="K18" s="324">
        <v>0</v>
      </c>
      <c r="L18" s="54">
        <f t="shared" si="1"/>
        <v>0</v>
      </c>
      <c r="M18" s="324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351">
        <v>70391.744047619053</v>
      </c>
      <c r="E19" s="352">
        <v>1295.5535714285713</v>
      </c>
      <c r="F19" s="351">
        <v>69096.190476190488</v>
      </c>
      <c r="G19" s="352">
        <v>11265.893005237553</v>
      </c>
      <c r="H19" s="353">
        <v>11265.893005237553</v>
      </c>
      <c r="I19" s="52">
        <f t="shared" si="0"/>
        <v>0</v>
      </c>
      <c r="J19" s="52"/>
      <c r="K19" s="324">
        <v>0</v>
      </c>
      <c r="L19" s="54">
        <f t="shared" si="1"/>
        <v>0</v>
      </c>
      <c r="M19" s="324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2010</v>
      </c>
      <c r="D20" s="351">
        <v>69096.190476190488</v>
      </c>
      <c r="E20" s="352">
        <v>1295.5535714285713</v>
      </c>
      <c r="F20" s="351">
        <v>67800.636904761923</v>
      </c>
      <c r="G20" s="352">
        <v>11078.949140853634</v>
      </c>
      <c r="H20" s="353">
        <v>11078.949140853634</v>
      </c>
      <c r="I20" s="52">
        <f t="shared" si="0"/>
        <v>0</v>
      </c>
      <c r="J20" s="52"/>
      <c r="K20" s="379">
        <f t="shared" ref="K20:K25" si="5">G20</f>
        <v>11078.949140853634</v>
      </c>
      <c r="L20" s="380">
        <f t="shared" si="1"/>
        <v>0</v>
      </c>
      <c r="M20" s="379">
        <f t="shared" ref="M20:M25" si="6">H20</f>
        <v>11078.949140853634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2011</v>
      </c>
      <c r="D21" s="351">
        <v>67800.636904761923</v>
      </c>
      <c r="E21" s="352">
        <v>1422.5686274509803</v>
      </c>
      <c r="F21" s="351">
        <v>66378.068277310944</v>
      </c>
      <c r="G21" s="352">
        <v>11813.613268851301</v>
      </c>
      <c r="H21" s="353">
        <v>11813.613268851301</v>
      </c>
      <c r="I21" s="52">
        <f t="shared" si="0"/>
        <v>0</v>
      </c>
      <c r="J21" s="52"/>
      <c r="K21" s="324">
        <f t="shared" si="5"/>
        <v>11813.613268851301</v>
      </c>
      <c r="L21" s="54">
        <f t="shared" si="1"/>
        <v>0</v>
      </c>
      <c r="M21" s="324">
        <f t="shared" si="6"/>
        <v>11813.613268851301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351">
        <v>66378.068277310944</v>
      </c>
      <c r="E22" s="352">
        <v>1395.2115384615386</v>
      </c>
      <c r="F22" s="351">
        <v>64982.856738849405</v>
      </c>
      <c r="G22" s="352">
        <v>10441.262785463339</v>
      </c>
      <c r="H22" s="353">
        <v>10441.262785463339</v>
      </c>
      <c r="I22" s="52">
        <f t="shared" si="0"/>
        <v>0</v>
      </c>
      <c r="J22" s="52"/>
      <c r="K22" s="324">
        <f t="shared" si="5"/>
        <v>10441.262785463339</v>
      </c>
      <c r="L22" s="54">
        <f t="shared" si="1"/>
        <v>0</v>
      </c>
      <c r="M22" s="324">
        <f t="shared" si="6"/>
        <v>10441.262785463339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351">
        <v>64982.856738849405</v>
      </c>
      <c r="E23" s="352">
        <v>1395.2115384615386</v>
      </c>
      <c r="F23" s="351">
        <v>63587.645200387866</v>
      </c>
      <c r="G23" s="352">
        <v>10475.957148527981</v>
      </c>
      <c r="H23" s="353">
        <v>10475.957148527981</v>
      </c>
      <c r="I23" s="52">
        <v>0</v>
      </c>
      <c r="J23" s="52"/>
      <c r="K23" s="324">
        <f t="shared" si="5"/>
        <v>10475.957148527981</v>
      </c>
      <c r="L23" s="54">
        <f t="shared" ref="L23:L28" si="7">IF(K23&lt;&gt;0,+G23-K23,0)</f>
        <v>0</v>
      </c>
      <c r="M23" s="324">
        <f t="shared" si="6"/>
        <v>10475.957148527981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351">
        <v>63587.645200387866</v>
      </c>
      <c r="E24" s="352">
        <v>1395.2115384615386</v>
      </c>
      <c r="F24" s="351">
        <v>62192.433661926327</v>
      </c>
      <c r="G24" s="352">
        <v>9956.5453160541092</v>
      </c>
      <c r="H24" s="353">
        <v>9956.5453160541092</v>
      </c>
      <c r="I24" s="52">
        <v>0</v>
      </c>
      <c r="J24" s="52"/>
      <c r="K24" s="324">
        <f t="shared" si="5"/>
        <v>9956.5453160541092</v>
      </c>
      <c r="L24" s="54">
        <f t="shared" si="7"/>
        <v>0</v>
      </c>
      <c r="M24" s="324">
        <f t="shared" si="6"/>
        <v>9956.5453160541092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351">
        <v>62192.433661926327</v>
      </c>
      <c r="E25" s="352">
        <v>1395.2115384615386</v>
      </c>
      <c r="F25" s="351">
        <v>60797.222123464788</v>
      </c>
      <c r="G25" s="352">
        <v>9777.4252794187214</v>
      </c>
      <c r="H25" s="353">
        <v>9777.4252794187214</v>
      </c>
      <c r="I25" s="52">
        <v>0</v>
      </c>
      <c r="J25" s="52"/>
      <c r="K25" s="324">
        <f t="shared" si="5"/>
        <v>9777.4252794187214</v>
      </c>
      <c r="L25" s="54">
        <f t="shared" si="7"/>
        <v>0</v>
      </c>
      <c r="M25" s="324">
        <f t="shared" si="6"/>
        <v>9777.4252794187214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351">
        <v>60797.222123464788</v>
      </c>
      <c r="E26" s="352">
        <v>1395.2115384615386</v>
      </c>
      <c r="F26" s="351">
        <v>59402.010585003249</v>
      </c>
      <c r="G26" s="352">
        <v>9186.357507240491</v>
      </c>
      <c r="H26" s="353">
        <v>9186.357507240491</v>
      </c>
      <c r="I26" s="52">
        <f t="shared" si="0"/>
        <v>0</v>
      </c>
      <c r="J26" s="52"/>
      <c r="K26" s="324">
        <f t="shared" ref="K26:K31" si="10">G26</f>
        <v>9186.357507240491</v>
      </c>
      <c r="L26" s="54">
        <f t="shared" si="7"/>
        <v>0</v>
      </c>
      <c r="M26" s="324">
        <f t="shared" ref="M26:M31" si="11">H26</f>
        <v>9186.357507240491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351">
        <v>59402.010585003249</v>
      </c>
      <c r="E27" s="352">
        <v>1577.195652173913</v>
      </c>
      <c r="F27" s="351">
        <v>57824.814932829337</v>
      </c>
      <c r="G27" s="352">
        <v>8936.0194589414823</v>
      </c>
      <c r="H27" s="353">
        <v>8936.0194589414823</v>
      </c>
      <c r="I27" s="52">
        <f t="shared" si="0"/>
        <v>0</v>
      </c>
      <c r="J27" s="52"/>
      <c r="K27" s="324">
        <f t="shared" si="10"/>
        <v>8936.0194589414823</v>
      </c>
      <c r="L27" s="54">
        <f t="shared" si="7"/>
        <v>0</v>
      </c>
      <c r="M27" s="324">
        <f t="shared" si="11"/>
        <v>8936.0194589414823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351">
        <v>57824.814932829337</v>
      </c>
      <c r="E28" s="352">
        <v>1612.2444444444445</v>
      </c>
      <c r="F28" s="351">
        <v>56212.570488384896</v>
      </c>
      <c r="G28" s="352">
        <v>8440.7426840086373</v>
      </c>
      <c r="H28" s="353">
        <v>8440.7426840086373</v>
      </c>
      <c r="I28" s="52">
        <f t="shared" si="0"/>
        <v>0</v>
      </c>
      <c r="J28" s="52"/>
      <c r="K28" s="324">
        <f t="shared" si="10"/>
        <v>8440.7426840086373</v>
      </c>
      <c r="L28" s="54">
        <f t="shared" si="7"/>
        <v>0</v>
      </c>
      <c r="M28" s="324">
        <f t="shared" si="11"/>
        <v>8440.7426840086373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351">
        <v>56212.570488384896</v>
      </c>
      <c r="E29" s="352">
        <v>1813.7750000000001</v>
      </c>
      <c r="F29" s="351">
        <v>54398.795488384894</v>
      </c>
      <c r="G29" s="352">
        <v>7989.0212540933571</v>
      </c>
      <c r="H29" s="353">
        <v>7989.0212540933571</v>
      </c>
      <c r="I29" s="52">
        <f t="shared" si="0"/>
        <v>0</v>
      </c>
      <c r="J29" s="52"/>
      <c r="K29" s="324">
        <f t="shared" si="10"/>
        <v>7989.0212540933571</v>
      </c>
      <c r="L29" s="54">
        <f t="shared" ref="L29" si="12">IF(K29&lt;&gt;0,+G29-K29,0)</f>
        <v>0</v>
      </c>
      <c r="M29" s="324">
        <f t="shared" si="11"/>
        <v>7989.0212540933571</v>
      </c>
      <c r="N29" s="54">
        <f t="shared" ref="N29" si="13">IF(M29&lt;&gt;0,+H29-M29,0)</f>
        <v>0</v>
      </c>
      <c r="O29" s="54">
        <f t="shared" si="3"/>
        <v>0</v>
      </c>
      <c r="P29" s="1"/>
    </row>
    <row r="30" spans="2:16" ht="12.5">
      <c r="B30" s="7" t="str">
        <f t="shared" si="4"/>
        <v>IU</v>
      </c>
      <c r="C30" s="50">
        <f>IF(D11="","-",+C29+1)</f>
        <v>2020</v>
      </c>
      <c r="D30" s="351">
        <v>54600.326043940455</v>
      </c>
      <c r="E30" s="352">
        <v>1727.4047619047619</v>
      </c>
      <c r="F30" s="351">
        <v>52872.921282035692</v>
      </c>
      <c r="G30" s="352">
        <v>7531.2168125199005</v>
      </c>
      <c r="H30" s="353">
        <v>7531.2168125199005</v>
      </c>
      <c r="I30" s="52">
        <f t="shared" si="0"/>
        <v>0</v>
      </c>
      <c r="J30" s="52"/>
      <c r="K30" s="324">
        <f t="shared" si="10"/>
        <v>7531.2168125199005</v>
      </c>
      <c r="L30" s="54">
        <f t="shared" ref="L30" si="14">IF(K30&lt;&gt;0,+G30-K30,0)</f>
        <v>0</v>
      </c>
      <c r="M30" s="324">
        <f t="shared" si="11"/>
        <v>7531.2168125199005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351">
        <v>52671.390726480109</v>
      </c>
      <c r="E31" s="352">
        <v>1687.2325581395348</v>
      </c>
      <c r="F31" s="351">
        <v>50984.158168340575</v>
      </c>
      <c r="G31" s="352">
        <v>7184.4287124898146</v>
      </c>
      <c r="H31" s="353">
        <v>7184.4287124898146</v>
      </c>
      <c r="I31" s="52">
        <f t="shared" si="0"/>
        <v>0</v>
      </c>
      <c r="J31" s="52"/>
      <c r="K31" s="324">
        <f t="shared" si="10"/>
        <v>7184.4287124898146</v>
      </c>
      <c r="L31" s="54">
        <f t="shared" ref="L31" si="15">IF(K31&lt;&gt;0,+G31-K31,0)</f>
        <v>0</v>
      </c>
      <c r="M31" s="324">
        <f t="shared" si="11"/>
        <v>7184.4287124898146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2022</v>
      </c>
      <c r="D32" s="351">
        <v>50984.158168340575</v>
      </c>
      <c r="E32" s="352">
        <v>1727.4047619047619</v>
      </c>
      <c r="F32" s="351">
        <v>49256.753406435811</v>
      </c>
      <c r="G32" s="352">
        <v>7037.8367110732015</v>
      </c>
      <c r="H32" s="353">
        <v>7037.8367110732015</v>
      </c>
      <c r="I32" s="52">
        <f t="shared" si="0"/>
        <v>0</v>
      </c>
      <c r="J32" s="52"/>
      <c r="K32" s="324">
        <f t="shared" ref="K32" si="16">G32</f>
        <v>7037.8367110732015</v>
      </c>
      <c r="L32" s="54">
        <f t="shared" ref="L32" si="17">IF(K32&lt;&gt;0,+G32-K32,0)</f>
        <v>0</v>
      </c>
      <c r="M32" s="324">
        <f t="shared" ref="M32" si="18">H32</f>
        <v>7037.8367110732015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351">
        <v>49256.753406435811</v>
      </c>
      <c r="E33" s="352">
        <v>1860.2820512820513</v>
      </c>
      <c r="F33" s="351">
        <v>47396.471355153757</v>
      </c>
      <c r="G33" s="352">
        <v>7517.475137068097</v>
      </c>
      <c r="H33" s="353">
        <v>7517.475137068097</v>
      </c>
      <c r="I33" s="52">
        <f t="shared" si="0"/>
        <v>0</v>
      </c>
      <c r="J33" s="52"/>
      <c r="K33" s="324">
        <f t="shared" ref="K33" si="19">G33</f>
        <v>7517.475137068097</v>
      </c>
      <c r="L33" s="54">
        <f t="shared" ref="L33" si="20">IF(K33&lt;&gt;0,+G33-K33,0)</f>
        <v>0</v>
      </c>
      <c r="M33" s="324">
        <f t="shared" ref="M33" si="21">H33</f>
        <v>7517.475137068097</v>
      </c>
      <c r="N33" s="54">
        <f t="shared" ref="N33" si="22">IF(M33&lt;&gt;0,+H33-M33,0)</f>
        <v>0</v>
      </c>
      <c r="O33" s="54">
        <f t="shared" ref="O33" si="23">+N33-L33</f>
        <v>0</v>
      </c>
      <c r="P33" s="1"/>
    </row>
    <row r="34" spans="2:16" ht="12.5">
      <c r="B34" s="7" t="str">
        <f t="shared" si="4"/>
        <v/>
      </c>
      <c r="C34" s="450">
        <f>IF(D11="","-",+C33+1)</f>
        <v>2024</v>
      </c>
      <c r="D34" s="351">
        <v>47396.471355153757</v>
      </c>
      <c r="E34" s="352">
        <v>1909.2368421052631</v>
      </c>
      <c r="F34" s="351">
        <v>45487.234513048497</v>
      </c>
      <c r="G34" s="352">
        <v>7082.9634280961545</v>
      </c>
      <c r="H34" s="353">
        <v>7082.9634280961545</v>
      </c>
      <c r="I34" s="52">
        <f t="shared" si="0"/>
        <v>0</v>
      </c>
      <c r="J34" s="52"/>
      <c r="K34" s="324">
        <f t="shared" ref="K34" si="24">G34</f>
        <v>7082.9634280961545</v>
      </c>
      <c r="L34" s="54">
        <f t="shared" ref="L34" si="25">IF(K34&lt;&gt;0,+G34-K34,0)</f>
        <v>0</v>
      </c>
      <c r="M34" s="324">
        <f t="shared" ref="M34" si="26">H34</f>
        <v>7082.9634280961545</v>
      </c>
      <c r="N34" s="54">
        <f t="shared" ref="N34" si="27">IF(M34&lt;&gt;0,+H34-M34,0)</f>
        <v>0</v>
      </c>
      <c r="O34" s="54">
        <f t="shared" ref="O34" si="28">+N34-L34</f>
        <v>0</v>
      </c>
      <c r="P34" s="1"/>
    </row>
    <row r="35" spans="2:16" ht="13">
      <c r="B35" s="7" t="str">
        <f t="shared" si="4"/>
        <v/>
      </c>
      <c r="C35" s="449">
        <f>IF(D11="","-",+C34+1)</f>
        <v>2025</v>
      </c>
      <c r="D35" s="351">
        <v>45487.234513048497</v>
      </c>
      <c r="E35" s="352">
        <v>1909.2368421052631</v>
      </c>
      <c r="F35" s="351">
        <v>43577.997670943238</v>
      </c>
      <c r="G35" s="352">
        <v>6859.9803812549098</v>
      </c>
      <c r="H35" s="353">
        <v>6859.9803812549098</v>
      </c>
      <c r="I35" s="52">
        <f t="shared" si="0"/>
        <v>0</v>
      </c>
      <c r="J35" s="52"/>
      <c r="K35" s="324">
        <f t="shared" ref="K35" si="29">G35</f>
        <v>6859.9803812549098</v>
      </c>
      <c r="L35" s="54">
        <f t="shared" ref="L35" si="30">IF(K35&lt;&gt;0,+G35-K35,0)</f>
        <v>0</v>
      </c>
      <c r="M35" s="324">
        <f t="shared" ref="M35" si="31">H35</f>
        <v>6859.9803812549098</v>
      </c>
      <c r="N35" s="54">
        <f t="shared" ref="N35" si="32">IF(M35&lt;&gt;0,+H35-M35,0)</f>
        <v>0</v>
      </c>
      <c r="O35" s="54">
        <f t="shared" ref="O35" si="33">+N35-L35</f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43577.997670943238</v>
      </c>
      <c r="E36" s="354">
        <f>IF(+I14&lt;F35,I14,D36)</f>
        <v>1909.2368421052631</v>
      </c>
      <c r="F36" s="55">
        <f t="shared" ref="F36:F48" si="34">+D36-E36</f>
        <v>41668.760828837978</v>
      </c>
      <c r="G36" s="355">
        <f t="shared" ref="G36:G72" si="35">+I$12*F36+E36</f>
        <v>6801.2621062915832</v>
      </c>
      <c r="H36" s="337">
        <f t="shared" ref="H36:H72" si="36">+I$13*F36+E36</f>
        <v>6801.2621062915832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41668.760828837978</v>
      </c>
      <c r="E37" s="354">
        <f>IF(+I14&lt;F36,I14,D37)</f>
        <v>1909.2368421052631</v>
      </c>
      <c r="F37" s="55">
        <f t="shared" si="34"/>
        <v>39759.523986732718</v>
      </c>
      <c r="G37" s="355">
        <f t="shared" si="35"/>
        <v>6577.1125352193803</v>
      </c>
      <c r="H37" s="337">
        <f t="shared" si="36"/>
        <v>6577.1125352193803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39759.523986732718</v>
      </c>
      <c r="E38" s="354">
        <f>IF(+I14&lt;F37,I14,D38)</f>
        <v>1909.2368421052631</v>
      </c>
      <c r="F38" s="55">
        <f t="shared" si="34"/>
        <v>37850.287144627458</v>
      </c>
      <c r="G38" s="355">
        <f t="shared" si="35"/>
        <v>6352.9629641471774</v>
      </c>
      <c r="H38" s="337">
        <f t="shared" si="36"/>
        <v>6352.9629641471774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37850.287144627458</v>
      </c>
      <c r="E39" s="354">
        <f>IF(+I14&lt;F38,I14,D39)</f>
        <v>1909.2368421052631</v>
      </c>
      <c r="F39" s="55">
        <f t="shared" si="34"/>
        <v>35941.050302522199</v>
      </c>
      <c r="G39" s="355">
        <f t="shared" si="35"/>
        <v>6128.8133930749746</v>
      </c>
      <c r="H39" s="337">
        <f t="shared" si="36"/>
        <v>6128.8133930749746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35941.050302522199</v>
      </c>
      <c r="E40" s="354">
        <f>IF(+I14&lt;F39,I14,D40)</f>
        <v>1909.2368421052631</v>
      </c>
      <c r="F40" s="55">
        <f t="shared" si="34"/>
        <v>34031.813460416939</v>
      </c>
      <c r="G40" s="355">
        <f t="shared" si="35"/>
        <v>5904.6638220027717</v>
      </c>
      <c r="H40" s="337">
        <f t="shared" si="36"/>
        <v>5904.6638220027717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34031.813460416939</v>
      </c>
      <c r="E41" s="354">
        <f>IF(+I14&lt;F40,I14,D41)</f>
        <v>1909.2368421052631</v>
      </c>
      <c r="F41" s="55">
        <f t="shared" si="34"/>
        <v>32122.576618311676</v>
      </c>
      <c r="G41" s="355">
        <f t="shared" si="35"/>
        <v>5680.5142509305679</v>
      </c>
      <c r="H41" s="337">
        <f t="shared" si="36"/>
        <v>5680.5142509305679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32122.576618311676</v>
      </c>
      <c r="E42" s="354">
        <f>IF(+I14&lt;F41,I14,D42)</f>
        <v>1909.2368421052631</v>
      </c>
      <c r="F42" s="55">
        <f t="shared" si="34"/>
        <v>30213.339776206412</v>
      </c>
      <c r="G42" s="355">
        <f t="shared" si="35"/>
        <v>5456.364679858365</v>
      </c>
      <c r="H42" s="337">
        <f t="shared" si="36"/>
        <v>5456.364679858365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30213.339776206412</v>
      </c>
      <c r="E43" s="354">
        <f>IF(+I14&lt;F42,I14,D43)</f>
        <v>1909.2368421052631</v>
      </c>
      <c r="F43" s="55">
        <f t="shared" si="34"/>
        <v>28304.102934101149</v>
      </c>
      <c r="G43" s="355">
        <f t="shared" si="35"/>
        <v>5232.2151087861621</v>
      </c>
      <c r="H43" s="337">
        <f t="shared" si="36"/>
        <v>5232.2151087861621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28304.102934101149</v>
      </c>
      <c r="E44" s="354">
        <f>IF(+I14&lt;F43,I14,D44)</f>
        <v>1909.2368421052631</v>
      </c>
      <c r="F44" s="55">
        <f t="shared" si="34"/>
        <v>26394.866091995886</v>
      </c>
      <c r="G44" s="355">
        <f t="shared" si="35"/>
        <v>5008.0655377139583</v>
      </c>
      <c r="H44" s="337">
        <f t="shared" si="36"/>
        <v>5008.0655377139583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26394.866091995886</v>
      </c>
      <c r="E45" s="354">
        <f>IF(+I14&lt;F44,I14,D45)</f>
        <v>1909.2368421052631</v>
      </c>
      <c r="F45" s="55">
        <f t="shared" si="34"/>
        <v>24485.629249890622</v>
      </c>
      <c r="G45" s="355">
        <f t="shared" si="35"/>
        <v>4783.9159666417554</v>
      </c>
      <c r="H45" s="337">
        <f t="shared" si="36"/>
        <v>4783.9159666417554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24485.629249890622</v>
      </c>
      <c r="E46" s="354">
        <f>IF(+I14&lt;F45,I14,D46)</f>
        <v>1909.2368421052631</v>
      </c>
      <c r="F46" s="55">
        <f t="shared" si="34"/>
        <v>22576.392407785359</v>
      </c>
      <c r="G46" s="355">
        <f t="shared" si="35"/>
        <v>4559.7663955695525</v>
      </c>
      <c r="H46" s="337">
        <f t="shared" si="36"/>
        <v>4559.7663955695525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22576.392407785359</v>
      </c>
      <c r="E47" s="354">
        <f>IF(+I14&lt;F46,I14,D47)</f>
        <v>1909.2368421052631</v>
      </c>
      <c r="F47" s="55">
        <f t="shared" si="34"/>
        <v>20667.155565680096</v>
      </c>
      <c r="G47" s="355">
        <f t="shared" si="35"/>
        <v>4335.6168244973487</v>
      </c>
      <c r="H47" s="337">
        <f t="shared" si="36"/>
        <v>4335.6168244973487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20667.155565680096</v>
      </c>
      <c r="E48" s="354">
        <f>IF(+I14&lt;F47,I14,D48)</f>
        <v>1909.2368421052631</v>
      </c>
      <c r="F48" s="55">
        <f t="shared" si="34"/>
        <v>18757.918723574832</v>
      </c>
      <c r="G48" s="355">
        <f t="shared" si="35"/>
        <v>4111.4672534251458</v>
      </c>
      <c r="H48" s="337">
        <f t="shared" si="36"/>
        <v>4111.4672534251458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18757.918723574832</v>
      </c>
      <c r="E49" s="354">
        <f>IF(+I14&lt;F48,I14,D49)</f>
        <v>1909.2368421052631</v>
      </c>
      <c r="F49" s="55">
        <f t="shared" ref="F49:F72" si="37">+D49-E49</f>
        <v>16848.681881469569</v>
      </c>
      <c r="G49" s="355">
        <f t="shared" si="35"/>
        <v>3887.3176823529429</v>
      </c>
      <c r="H49" s="337">
        <f t="shared" si="36"/>
        <v>3887.3176823529429</v>
      </c>
      <c r="I49" s="52">
        <f t="shared" ref="I49:I72" si="38">H49-G49</f>
        <v>0</v>
      </c>
      <c r="J49" s="52"/>
      <c r="K49" s="115"/>
      <c r="L49" s="54">
        <f t="shared" ref="L49:L72" si="39">IF(K49&lt;&gt;0,+G49-K49,0)</f>
        <v>0</v>
      </c>
      <c r="M49" s="115"/>
      <c r="N49" s="54">
        <f t="shared" ref="N49:N72" si="40">IF(M49&lt;&gt;0,+H49-M49,0)</f>
        <v>0</v>
      </c>
      <c r="O49" s="54">
        <f t="shared" ref="O49:O72" si="41">+N49-L49</f>
        <v>0</v>
      </c>
      <c r="P49" s="1"/>
    </row>
    <row r="50" spans="2:22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16848.681881469569</v>
      </c>
      <c r="E50" s="354">
        <f>IF(+I14&lt;F49,I14,D50)</f>
        <v>1909.2368421052631</v>
      </c>
      <c r="F50" s="55">
        <f t="shared" si="37"/>
        <v>14939.445039364306</v>
      </c>
      <c r="G50" s="355">
        <f t="shared" si="35"/>
        <v>3663.1681112807391</v>
      </c>
      <c r="H50" s="337">
        <f t="shared" si="36"/>
        <v>3663.1681112807391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22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14939.445039364306</v>
      </c>
      <c r="E51" s="354">
        <f>IF(+I14&lt;F50,I14,D51)</f>
        <v>1909.2368421052631</v>
      </c>
      <c r="F51" s="55">
        <f t="shared" si="37"/>
        <v>13030.208197259042</v>
      </c>
      <c r="G51" s="355">
        <f t="shared" si="35"/>
        <v>3439.0185402085363</v>
      </c>
      <c r="H51" s="337">
        <f t="shared" si="36"/>
        <v>3439.0185402085363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  <c r="V51" t="s">
        <v>455</v>
      </c>
    </row>
    <row r="52" spans="2:22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13030.208197259042</v>
      </c>
      <c r="E52" s="354">
        <f>IF(+I14&lt;F51,I14,D52)</f>
        <v>1909.2368421052631</v>
      </c>
      <c r="F52" s="55">
        <f t="shared" si="37"/>
        <v>11120.971355153779</v>
      </c>
      <c r="G52" s="355">
        <f t="shared" si="35"/>
        <v>3214.8689691363334</v>
      </c>
      <c r="H52" s="337">
        <f t="shared" si="36"/>
        <v>3214.8689691363334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22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11120.971355153779</v>
      </c>
      <c r="E53" s="354">
        <f>IF(+I14&lt;F52,I14,D53)</f>
        <v>1909.2368421052631</v>
      </c>
      <c r="F53" s="55">
        <f t="shared" si="37"/>
        <v>9211.7345130485155</v>
      </c>
      <c r="G53" s="355">
        <f t="shared" si="35"/>
        <v>2990.7193980641296</v>
      </c>
      <c r="H53" s="337">
        <f t="shared" si="36"/>
        <v>2990.7193980641296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22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9211.7345130485155</v>
      </c>
      <c r="E54" s="354">
        <f>IF(+I14&lt;F53,I14,D54)</f>
        <v>1909.2368421052631</v>
      </c>
      <c r="F54" s="55">
        <f t="shared" si="37"/>
        <v>7302.4976709432522</v>
      </c>
      <c r="G54" s="355">
        <f t="shared" si="35"/>
        <v>2766.5698269919267</v>
      </c>
      <c r="H54" s="337">
        <f t="shared" si="36"/>
        <v>2766.5698269919267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22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7302.4976709432522</v>
      </c>
      <c r="E55" s="354">
        <f>IF(+I14&lt;F54,I14,D55)</f>
        <v>1909.2368421052631</v>
      </c>
      <c r="F55" s="55">
        <f t="shared" si="37"/>
        <v>5393.2608288379888</v>
      </c>
      <c r="G55" s="355">
        <f t="shared" si="35"/>
        <v>2542.4202559197233</v>
      </c>
      <c r="H55" s="337">
        <f t="shared" si="36"/>
        <v>2542.4202559197233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22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5393.2608288379888</v>
      </c>
      <c r="E56" s="354">
        <f>IF(+I14&lt;F55,I14,D56)</f>
        <v>1909.2368421052631</v>
      </c>
      <c r="F56" s="55">
        <f t="shared" si="37"/>
        <v>3484.0239867327255</v>
      </c>
      <c r="G56" s="355">
        <f t="shared" si="35"/>
        <v>2318.27068484752</v>
      </c>
      <c r="H56" s="337">
        <f t="shared" si="36"/>
        <v>2318.27068484752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22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3484.0239867327255</v>
      </c>
      <c r="E57" s="354">
        <f>IF(+I14&lt;F56,I14,D57)</f>
        <v>1909.2368421052631</v>
      </c>
      <c r="F57" s="55">
        <f t="shared" si="37"/>
        <v>1574.7871446274623</v>
      </c>
      <c r="G57" s="355">
        <f t="shared" si="35"/>
        <v>2094.1211137753171</v>
      </c>
      <c r="H57" s="337">
        <f t="shared" si="36"/>
        <v>2094.1211137753171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22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1574.7871446274623</v>
      </c>
      <c r="E58" s="354">
        <f>IF(+I14&lt;F57,I14,D58)</f>
        <v>1574.7871446274623</v>
      </c>
      <c r="F58" s="55">
        <f t="shared" si="37"/>
        <v>0</v>
      </c>
      <c r="G58" s="355">
        <f t="shared" si="35"/>
        <v>1574.7871446274623</v>
      </c>
      <c r="H58" s="337">
        <f t="shared" si="36"/>
        <v>1574.7871446274623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22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0</v>
      </c>
      <c r="E59" s="354">
        <f>IF(+I14&lt;F58,I14,D59)</f>
        <v>0</v>
      </c>
      <c r="F59" s="55">
        <f t="shared" si="37"/>
        <v>0</v>
      </c>
      <c r="G59" s="355">
        <f t="shared" si="35"/>
        <v>0</v>
      </c>
      <c r="H59" s="337">
        <f t="shared" si="36"/>
        <v>0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22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7"/>
        <v>0</v>
      </c>
      <c r="G60" s="355">
        <f t="shared" si="35"/>
        <v>0</v>
      </c>
      <c r="H60" s="337">
        <f t="shared" si="36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22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7"/>
        <v>0</v>
      </c>
      <c r="G61" s="356">
        <f t="shared" si="35"/>
        <v>0</v>
      </c>
      <c r="H61" s="337">
        <f t="shared" si="36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22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7"/>
        <v>0</v>
      </c>
      <c r="G62" s="356">
        <f t="shared" si="35"/>
        <v>0</v>
      </c>
      <c r="H62" s="337">
        <f t="shared" si="36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22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7"/>
        <v>0</v>
      </c>
      <c r="G63" s="356">
        <f t="shared" si="35"/>
        <v>0</v>
      </c>
      <c r="H63" s="337">
        <f t="shared" si="36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22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7"/>
        <v>0</v>
      </c>
      <c r="G64" s="356">
        <f t="shared" si="35"/>
        <v>0</v>
      </c>
      <c r="H64" s="337">
        <f t="shared" si="36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7"/>
        <v>0</v>
      </c>
      <c r="G65" s="356">
        <f t="shared" si="35"/>
        <v>0</v>
      </c>
      <c r="H65" s="337">
        <f t="shared" si="36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7"/>
        <v>0</v>
      </c>
      <c r="G66" s="356">
        <f t="shared" si="35"/>
        <v>0</v>
      </c>
      <c r="H66" s="337">
        <f t="shared" si="36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7"/>
        <v>0</v>
      </c>
      <c r="G67" s="356">
        <f t="shared" si="35"/>
        <v>0</v>
      </c>
      <c r="H67" s="337">
        <f t="shared" si="36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7"/>
        <v>0</v>
      </c>
      <c r="G68" s="356">
        <f t="shared" si="35"/>
        <v>0</v>
      </c>
      <c r="H68" s="337">
        <f t="shared" si="36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7"/>
        <v>0</v>
      </c>
      <c r="G69" s="356">
        <f t="shared" si="35"/>
        <v>0</v>
      </c>
      <c r="H69" s="337">
        <f t="shared" si="36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7"/>
        <v>0</v>
      </c>
      <c r="G70" s="356">
        <f t="shared" si="35"/>
        <v>0</v>
      </c>
      <c r="H70" s="337">
        <f t="shared" si="36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7"/>
        <v>0</v>
      </c>
      <c r="G71" s="356">
        <f t="shared" si="35"/>
        <v>0</v>
      </c>
      <c r="H71" s="337">
        <f t="shared" si="36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7"/>
        <v>0</v>
      </c>
      <c r="G72" s="358">
        <f t="shared" si="35"/>
        <v>0</v>
      </c>
      <c r="H72" s="335">
        <f t="shared" si="36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 ht="12.5">
      <c r="C73" s="12" t="s">
        <v>77</v>
      </c>
      <c r="D73" s="267"/>
      <c r="E73" s="267">
        <f>SUM(E17:E72)</f>
        <v>72550.999999999971</v>
      </c>
      <c r="F73" s="267"/>
      <c r="G73" s="267">
        <f>SUM(G17:G72)</f>
        <v>274660.45700970676</v>
      </c>
      <c r="H73" s="267">
        <f>SUM(H17:H72)</f>
        <v>274660.45700970676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9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7082.9634280961545</v>
      </c>
      <c r="N87" s="364">
        <f>IF(J92&lt;D11,0,VLOOKUP(J92,C17:O72,11))</f>
        <v>7082.9634280961545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8181.2136301849741</v>
      </c>
      <c r="N88" s="367">
        <f>IF(J92&lt;D11,0,VLOOKUP(J92,C99:P154,7))</f>
        <v>8181.2136301849741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Upgrade (repl switches)*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1098.2502020888196</v>
      </c>
      <c r="N89" s="369">
        <f>+N88-N87</f>
        <v>1098.2502020888196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TP2004033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72551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1961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2007</v>
      </c>
      <c r="D99" s="349">
        <v>0</v>
      </c>
      <c r="E99" s="352">
        <v>0</v>
      </c>
      <c r="F99" s="351">
        <v>72551</v>
      </c>
      <c r="G99" s="376">
        <v>36276</v>
      </c>
      <c r="H99" s="377">
        <v>5762</v>
      </c>
      <c r="I99" s="378">
        <v>5762</v>
      </c>
      <c r="J99" s="54">
        <f t="shared" ref="J99:J130" si="42">+I99-H99</f>
        <v>0</v>
      </c>
      <c r="K99" s="54"/>
      <c r="L99" s="117">
        <v>0</v>
      </c>
      <c r="M99" s="53">
        <f t="shared" ref="M99:M130" si="43">IF(L99&lt;&gt;0,+H99-L99,0)</f>
        <v>0</v>
      </c>
      <c r="N99" s="117">
        <v>0</v>
      </c>
      <c r="O99" s="53">
        <f t="shared" ref="O99:O130" si="44">IF(N99&lt;&gt;0,+I99-N99,0)</f>
        <v>0</v>
      </c>
      <c r="P99" s="53">
        <f t="shared" ref="P99:P130" si="45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349">
        <v>72551</v>
      </c>
      <c r="E100" s="392">
        <v>1369</v>
      </c>
      <c r="F100" s="351">
        <v>71182</v>
      </c>
      <c r="G100" s="351">
        <v>71867</v>
      </c>
      <c r="H100" s="352">
        <v>12785</v>
      </c>
      <c r="I100" s="353">
        <v>12785</v>
      </c>
      <c r="J100" s="54">
        <f t="shared" si="42"/>
        <v>0</v>
      </c>
      <c r="K100" s="54"/>
      <c r="L100" s="324">
        <v>12785</v>
      </c>
      <c r="M100" s="54">
        <f t="shared" si="43"/>
        <v>0</v>
      </c>
      <c r="N100" s="324">
        <v>12785</v>
      </c>
      <c r="O100" s="54">
        <f t="shared" si="44"/>
        <v>0</v>
      </c>
      <c r="P100" s="54">
        <f t="shared" si="45"/>
        <v>0</v>
      </c>
    </row>
    <row r="101" spans="1:16" ht="12.5">
      <c r="B101" s="7" t="str">
        <f t="shared" ref="B101:B154" si="46">IF(D101=F100,"","IU")</f>
        <v/>
      </c>
      <c r="C101" s="50">
        <f>IF(D93="","-",+C100+1)</f>
        <v>2009</v>
      </c>
      <c r="D101" s="349">
        <v>71182</v>
      </c>
      <c r="E101" s="352">
        <v>1296</v>
      </c>
      <c r="F101" s="351">
        <v>69886</v>
      </c>
      <c r="G101" s="351">
        <v>70534</v>
      </c>
      <c r="H101" s="352">
        <v>11608.65494705257</v>
      </c>
      <c r="I101" s="353">
        <v>11608.65494705257</v>
      </c>
      <c r="J101" s="54">
        <f t="shared" si="42"/>
        <v>0</v>
      </c>
      <c r="K101" s="54"/>
      <c r="L101" s="379">
        <f t="shared" ref="L101:L106" si="47">H101</f>
        <v>11608.65494705257</v>
      </c>
      <c r="M101" s="380">
        <f t="shared" si="43"/>
        <v>0</v>
      </c>
      <c r="N101" s="379">
        <f t="shared" ref="N101:N106" si="48">I101</f>
        <v>11608.65494705257</v>
      </c>
      <c r="O101" s="54">
        <f t="shared" si="44"/>
        <v>0</v>
      </c>
      <c r="P101" s="54">
        <f t="shared" si="45"/>
        <v>0</v>
      </c>
    </row>
    <row r="102" spans="1:16" ht="12.5">
      <c r="B102" s="7" t="str">
        <f t="shared" si="46"/>
        <v/>
      </c>
      <c r="C102" s="50">
        <f>IF(D93="","-",+C101+1)</f>
        <v>2010</v>
      </c>
      <c r="D102" s="349">
        <v>69886</v>
      </c>
      <c r="E102" s="352">
        <v>1423</v>
      </c>
      <c r="F102" s="351">
        <v>68463</v>
      </c>
      <c r="G102" s="351">
        <v>69174.5</v>
      </c>
      <c r="H102" s="352">
        <v>12547.312556925655</v>
      </c>
      <c r="I102" s="353">
        <v>12547.312556925655</v>
      </c>
      <c r="J102" s="54">
        <f t="shared" si="42"/>
        <v>0</v>
      </c>
      <c r="K102" s="54"/>
      <c r="L102" s="379">
        <f t="shared" si="47"/>
        <v>12547.312556925655</v>
      </c>
      <c r="M102" s="380">
        <f t="shared" si="43"/>
        <v>0</v>
      </c>
      <c r="N102" s="379">
        <f t="shared" si="48"/>
        <v>12547.312556925655</v>
      </c>
      <c r="O102" s="54">
        <f t="shared" si="44"/>
        <v>0</v>
      </c>
      <c r="P102" s="54">
        <f t="shared" si="45"/>
        <v>0</v>
      </c>
    </row>
    <row r="103" spans="1:16" ht="12.5">
      <c r="B103" s="7" t="str">
        <f t="shared" si="46"/>
        <v/>
      </c>
      <c r="C103" s="50">
        <f>IF(D93="","-",+C102+1)</f>
        <v>2011</v>
      </c>
      <c r="D103" s="349">
        <v>68463</v>
      </c>
      <c r="E103" s="352">
        <v>1395</v>
      </c>
      <c r="F103" s="351">
        <v>67068</v>
      </c>
      <c r="G103" s="351">
        <v>67765.5</v>
      </c>
      <c r="H103" s="352">
        <v>10869.52752826227</v>
      </c>
      <c r="I103" s="353">
        <v>10869.52752826227</v>
      </c>
      <c r="J103" s="54">
        <f t="shared" si="42"/>
        <v>0</v>
      </c>
      <c r="K103" s="54"/>
      <c r="L103" s="379">
        <f t="shared" si="47"/>
        <v>10869.52752826227</v>
      </c>
      <c r="M103" s="380">
        <f t="shared" si="43"/>
        <v>0</v>
      </c>
      <c r="N103" s="379">
        <f t="shared" si="48"/>
        <v>10869.52752826227</v>
      </c>
      <c r="O103" s="54">
        <f t="shared" si="44"/>
        <v>0</v>
      </c>
      <c r="P103" s="54">
        <f t="shared" si="45"/>
        <v>0</v>
      </c>
    </row>
    <row r="104" spans="1:16" ht="12.5">
      <c r="B104" s="7" t="str">
        <f t="shared" si="46"/>
        <v/>
      </c>
      <c r="C104" s="50">
        <f>IF(D93="","-",+C103+1)</f>
        <v>2012</v>
      </c>
      <c r="D104" s="349">
        <v>67068</v>
      </c>
      <c r="E104" s="352">
        <v>1395</v>
      </c>
      <c r="F104" s="351">
        <v>65673</v>
      </c>
      <c r="G104" s="351">
        <v>66370.5</v>
      </c>
      <c r="H104" s="352">
        <v>10942.760254640152</v>
      </c>
      <c r="I104" s="353">
        <v>10942.760254640152</v>
      </c>
      <c r="J104" s="54">
        <v>0</v>
      </c>
      <c r="K104" s="54"/>
      <c r="L104" s="379">
        <f t="shared" si="47"/>
        <v>10942.760254640152</v>
      </c>
      <c r="M104" s="380">
        <f t="shared" ref="M104:M109" si="49">IF(L104&lt;&gt;0,+H104-L104,0)</f>
        <v>0</v>
      </c>
      <c r="N104" s="379">
        <f t="shared" si="48"/>
        <v>10942.760254640152</v>
      </c>
      <c r="O104" s="54">
        <f t="shared" ref="O104:O109" si="50">IF(N104&lt;&gt;0,+I104-N104,0)</f>
        <v>0</v>
      </c>
      <c r="P104" s="54">
        <f t="shared" ref="P104:P109" si="51">+O104-M104</f>
        <v>0</v>
      </c>
    </row>
    <row r="105" spans="1:16" ht="12.5">
      <c r="B105" s="7" t="str">
        <f t="shared" si="46"/>
        <v/>
      </c>
      <c r="C105" s="50">
        <f>IF(D93="","-",+C104+1)</f>
        <v>2013</v>
      </c>
      <c r="D105" s="349">
        <v>65673</v>
      </c>
      <c r="E105" s="352">
        <v>1395</v>
      </c>
      <c r="F105" s="351">
        <v>64278</v>
      </c>
      <c r="G105" s="351">
        <v>64975.5</v>
      </c>
      <c r="H105" s="352">
        <v>10747.547086020993</v>
      </c>
      <c r="I105" s="353">
        <v>10747.547086020993</v>
      </c>
      <c r="J105" s="54">
        <v>0</v>
      </c>
      <c r="K105" s="54"/>
      <c r="L105" s="379">
        <f t="shared" si="47"/>
        <v>10747.547086020993</v>
      </c>
      <c r="M105" s="380">
        <f t="shared" si="49"/>
        <v>0</v>
      </c>
      <c r="N105" s="379">
        <f t="shared" si="48"/>
        <v>10747.547086020993</v>
      </c>
      <c r="O105" s="54">
        <f t="shared" si="50"/>
        <v>0</v>
      </c>
      <c r="P105" s="54">
        <f t="shared" si="51"/>
        <v>0</v>
      </c>
    </row>
    <row r="106" spans="1:16" ht="12.5">
      <c r="B106" s="7" t="str">
        <f t="shared" si="46"/>
        <v/>
      </c>
      <c r="C106" s="50">
        <f>IF(D93="","-",+C105+1)</f>
        <v>2014</v>
      </c>
      <c r="D106" s="349">
        <v>64278</v>
      </c>
      <c r="E106" s="352">
        <v>1395</v>
      </c>
      <c r="F106" s="351">
        <v>62883</v>
      </c>
      <c r="G106" s="351">
        <v>63580.5</v>
      </c>
      <c r="H106" s="352">
        <v>10334.158398344916</v>
      </c>
      <c r="I106" s="353">
        <v>10334.158398344916</v>
      </c>
      <c r="J106" s="54">
        <v>0</v>
      </c>
      <c r="K106" s="54"/>
      <c r="L106" s="379">
        <f t="shared" si="47"/>
        <v>10334.158398344916</v>
      </c>
      <c r="M106" s="380">
        <f t="shared" si="49"/>
        <v>0</v>
      </c>
      <c r="N106" s="379">
        <f t="shared" si="48"/>
        <v>10334.158398344916</v>
      </c>
      <c r="O106" s="54">
        <f t="shared" si="50"/>
        <v>0</v>
      </c>
      <c r="P106" s="54">
        <f t="shared" si="51"/>
        <v>0</v>
      </c>
    </row>
    <row r="107" spans="1:16" ht="12.5">
      <c r="B107" s="7" t="str">
        <f t="shared" si="46"/>
        <v/>
      </c>
      <c r="C107" s="50">
        <f>IF(D93="","-",+C106+1)</f>
        <v>2015</v>
      </c>
      <c r="D107" s="349">
        <v>62883</v>
      </c>
      <c r="E107" s="352">
        <v>1395</v>
      </c>
      <c r="F107" s="351">
        <v>61488</v>
      </c>
      <c r="G107" s="351">
        <v>62185.5</v>
      </c>
      <c r="H107" s="352">
        <v>9879.7114789405332</v>
      </c>
      <c r="I107" s="353">
        <v>9879.7114789405332</v>
      </c>
      <c r="J107" s="54">
        <f t="shared" si="42"/>
        <v>0</v>
      </c>
      <c r="K107" s="54"/>
      <c r="L107" s="379">
        <f t="shared" ref="L107:L112" si="52">H107</f>
        <v>9879.7114789405332</v>
      </c>
      <c r="M107" s="380">
        <f t="shared" si="49"/>
        <v>0</v>
      </c>
      <c r="N107" s="379">
        <f t="shared" ref="N107:N112" si="53">I107</f>
        <v>9879.7114789405332</v>
      </c>
      <c r="O107" s="54">
        <f t="shared" si="50"/>
        <v>0</v>
      </c>
      <c r="P107" s="54">
        <f t="shared" si="51"/>
        <v>0</v>
      </c>
    </row>
    <row r="108" spans="1:16" ht="12.5">
      <c r="B108" s="7" t="str">
        <f t="shared" si="46"/>
        <v/>
      </c>
      <c r="C108" s="50">
        <f>IF(D93="","-",+C107+1)</f>
        <v>2016</v>
      </c>
      <c r="D108" s="349">
        <v>61488</v>
      </c>
      <c r="E108" s="352">
        <v>1577</v>
      </c>
      <c r="F108" s="351">
        <v>59911</v>
      </c>
      <c r="G108" s="351">
        <v>60699.5</v>
      </c>
      <c r="H108" s="352">
        <v>9402.1214987986186</v>
      </c>
      <c r="I108" s="353">
        <v>9402.1214987986186</v>
      </c>
      <c r="J108" s="54">
        <f t="shared" si="42"/>
        <v>0</v>
      </c>
      <c r="K108" s="54"/>
      <c r="L108" s="379">
        <f t="shared" si="52"/>
        <v>9402.1214987986186</v>
      </c>
      <c r="M108" s="380">
        <f t="shared" si="49"/>
        <v>0</v>
      </c>
      <c r="N108" s="379">
        <f t="shared" si="53"/>
        <v>9402.1214987986186</v>
      </c>
      <c r="O108" s="54">
        <f t="shared" si="50"/>
        <v>0</v>
      </c>
      <c r="P108" s="54">
        <f t="shared" si="51"/>
        <v>0</v>
      </c>
    </row>
    <row r="109" spans="1:16" ht="12.5">
      <c r="B109" s="7" t="str">
        <f t="shared" si="46"/>
        <v/>
      </c>
      <c r="C109" s="50">
        <f>IF(D93="","-",+C108+1)</f>
        <v>2017</v>
      </c>
      <c r="D109" s="349">
        <v>59911</v>
      </c>
      <c r="E109" s="352">
        <v>1577</v>
      </c>
      <c r="F109" s="351">
        <v>58334</v>
      </c>
      <c r="G109" s="351">
        <v>59122.5</v>
      </c>
      <c r="H109" s="352">
        <v>9076.8382024367129</v>
      </c>
      <c r="I109" s="353">
        <v>9076.8382024367129</v>
      </c>
      <c r="J109" s="54">
        <f t="shared" si="42"/>
        <v>0</v>
      </c>
      <c r="K109" s="54"/>
      <c r="L109" s="379">
        <f t="shared" si="52"/>
        <v>9076.8382024367129</v>
      </c>
      <c r="M109" s="380">
        <f t="shared" si="49"/>
        <v>0</v>
      </c>
      <c r="N109" s="379">
        <f t="shared" si="53"/>
        <v>9076.8382024367129</v>
      </c>
      <c r="O109" s="54">
        <f t="shared" si="50"/>
        <v>0</v>
      </c>
      <c r="P109" s="54">
        <f t="shared" si="51"/>
        <v>0</v>
      </c>
    </row>
    <row r="110" spans="1:16" ht="12.5">
      <c r="B110" s="7" t="str">
        <f t="shared" si="46"/>
        <v/>
      </c>
      <c r="C110" s="50">
        <f>IF(D93="","-",+C109+1)</f>
        <v>2018</v>
      </c>
      <c r="D110" s="349">
        <v>58334</v>
      </c>
      <c r="E110" s="352">
        <v>1687</v>
      </c>
      <c r="F110" s="351">
        <v>56647</v>
      </c>
      <c r="G110" s="351">
        <v>57490.5</v>
      </c>
      <c r="H110" s="352">
        <v>7593.3191046629281</v>
      </c>
      <c r="I110" s="353">
        <v>7593.3191046629281</v>
      </c>
      <c r="J110" s="54">
        <f t="shared" si="42"/>
        <v>0</v>
      </c>
      <c r="K110" s="54"/>
      <c r="L110" s="379">
        <f t="shared" si="52"/>
        <v>7593.3191046629281</v>
      </c>
      <c r="M110" s="380">
        <f t="shared" ref="M110" si="54">IF(L110&lt;&gt;0,+H110-L110,0)</f>
        <v>0</v>
      </c>
      <c r="N110" s="379">
        <f t="shared" si="53"/>
        <v>7593.3191046629281</v>
      </c>
      <c r="O110" s="54">
        <f t="shared" ref="O110" si="55">IF(N110&lt;&gt;0,+I110-N110,0)</f>
        <v>0</v>
      </c>
      <c r="P110" s="54">
        <f t="shared" ref="P110" si="56">+O110-M110</f>
        <v>0</v>
      </c>
    </row>
    <row r="111" spans="1:16" ht="12.5">
      <c r="B111" s="7" t="str">
        <f t="shared" si="46"/>
        <v/>
      </c>
      <c r="C111" s="50">
        <f>IF(D93="","-",+C110+1)</f>
        <v>2019</v>
      </c>
      <c r="D111" s="349">
        <v>56647</v>
      </c>
      <c r="E111" s="352">
        <v>1770</v>
      </c>
      <c r="F111" s="351">
        <v>54877</v>
      </c>
      <c r="G111" s="351">
        <v>55762</v>
      </c>
      <c r="H111" s="352">
        <v>7519.8443223081076</v>
      </c>
      <c r="I111" s="353">
        <v>7519.8443223081076</v>
      </c>
      <c r="J111" s="54">
        <f t="shared" si="42"/>
        <v>0</v>
      </c>
      <c r="K111" s="54"/>
      <c r="L111" s="379">
        <f t="shared" si="52"/>
        <v>7519.8443223081076</v>
      </c>
      <c r="M111" s="380">
        <f t="shared" ref="M111:M112" si="57">IF(L111&lt;&gt;0,+H111-L111,0)</f>
        <v>0</v>
      </c>
      <c r="N111" s="379">
        <f t="shared" si="53"/>
        <v>7519.8443223081076</v>
      </c>
      <c r="O111" s="54">
        <f t="shared" si="44"/>
        <v>0</v>
      </c>
      <c r="P111" s="54">
        <f t="shared" si="45"/>
        <v>0</v>
      </c>
    </row>
    <row r="112" spans="1:16" ht="12.5">
      <c r="B112" s="7" t="str">
        <f t="shared" si="46"/>
        <v/>
      </c>
      <c r="C112" s="50">
        <f>IF(D93="","-",+C111+1)</f>
        <v>2020</v>
      </c>
      <c r="D112" s="349">
        <v>54877</v>
      </c>
      <c r="E112" s="352">
        <v>1687</v>
      </c>
      <c r="F112" s="351">
        <v>53190</v>
      </c>
      <c r="G112" s="351">
        <v>54033.5</v>
      </c>
      <c r="H112" s="352">
        <v>7916.9139971406776</v>
      </c>
      <c r="I112" s="353">
        <v>7916.9139971406776</v>
      </c>
      <c r="J112" s="54">
        <f t="shared" si="42"/>
        <v>0</v>
      </c>
      <c r="K112" s="54"/>
      <c r="L112" s="379">
        <f t="shared" si="52"/>
        <v>7916.9139971406776</v>
      </c>
      <c r="M112" s="380">
        <f t="shared" si="57"/>
        <v>0</v>
      </c>
      <c r="N112" s="379">
        <f t="shared" si="53"/>
        <v>7916.9139971406776</v>
      </c>
      <c r="O112" s="54">
        <f t="shared" si="44"/>
        <v>0</v>
      </c>
      <c r="P112" s="54">
        <f t="shared" si="45"/>
        <v>0</v>
      </c>
    </row>
    <row r="113" spans="2:16" ht="12.5">
      <c r="B113" s="7" t="str">
        <f t="shared" si="46"/>
        <v/>
      </c>
      <c r="C113" s="50">
        <f>IF(D93="","-",+C112+1)</f>
        <v>2021</v>
      </c>
      <c r="D113" s="349">
        <v>53190</v>
      </c>
      <c r="E113" s="352">
        <v>1770</v>
      </c>
      <c r="F113" s="351">
        <v>51420</v>
      </c>
      <c r="G113" s="351">
        <v>52305</v>
      </c>
      <c r="H113" s="352">
        <v>7721.9320395107143</v>
      </c>
      <c r="I113" s="353">
        <v>7721.9320395107143</v>
      </c>
      <c r="J113" s="54">
        <f t="shared" si="42"/>
        <v>0</v>
      </c>
      <c r="K113" s="54"/>
      <c r="L113" s="379">
        <f t="shared" ref="L113" si="58">H113</f>
        <v>7721.9320395107143</v>
      </c>
      <c r="M113" s="380">
        <f t="shared" ref="M113" si="59">IF(L113&lt;&gt;0,+H113-L113,0)</f>
        <v>0</v>
      </c>
      <c r="N113" s="379">
        <f t="shared" ref="N113" si="60">I113</f>
        <v>7721.9320395107143</v>
      </c>
      <c r="O113" s="54">
        <f t="shared" ref="O113" si="61">IF(N113&lt;&gt;0,+I113-N113,0)</f>
        <v>0</v>
      </c>
      <c r="P113" s="54">
        <f t="shared" ref="P113" si="62">+O113-M113</f>
        <v>0</v>
      </c>
    </row>
    <row r="114" spans="2:16" ht="12.5">
      <c r="B114" s="7" t="str">
        <f t="shared" si="46"/>
        <v/>
      </c>
      <c r="C114" s="450">
        <f>IF(D93="","-",+C113+1)</f>
        <v>2022</v>
      </c>
      <c r="D114" s="349">
        <v>51420</v>
      </c>
      <c r="E114" s="352">
        <v>1860</v>
      </c>
      <c r="F114" s="351">
        <v>49560</v>
      </c>
      <c r="G114" s="351">
        <v>50490</v>
      </c>
      <c r="H114" s="352">
        <v>7423.1221436915575</v>
      </c>
      <c r="I114" s="353">
        <v>7423.1221436915575</v>
      </c>
      <c r="J114" s="54">
        <f t="shared" si="42"/>
        <v>0</v>
      </c>
      <c r="K114" s="54"/>
      <c r="L114" s="379">
        <f t="shared" ref="L114:L115" si="63">H114</f>
        <v>7423.1221436915575</v>
      </c>
      <c r="M114" s="380">
        <f t="shared" ref="M114:M115" si="64">IF(L114&lt;&gt;0,+H114-L114,0)</f>
        <v>0</v>
      </c>
      <c r="N114" s="379">
        <f t="shared" ref="N114:N115" si="65">I114</f>
        <v>7423.1221436915575</v>
      </c>
      <c r="O114" s="54">
        <f t="shared" ref="O114:O115" si="66">IF(N114&lt;&gt;0,+I114-N114,0)</f>
        <v>0</v>
      </c>
      <c r="P114" s="54">
        <f t="shared" si="45"/>
        <v>0</v>
      </c>
    </row>
    <row r="115" spans="2:16" ht="12.5">
      <c r="B115" s="7" t="str">
        <f t="shared" si="46"/>
        <v/>
      </c>
      <c r="C115" s="50">
        <f>IF(D93="","-",+C114+1)</f>
        <v>2023</v>
      </c>
      <c r="D115" s="349">
        <v>49560</v>
      </c>
      <c r="E115" s="352">
        <v>1909</v>
      </c>
      <c r="F115" s="351">
        <v>47651</v>
      </c>
      <c r="G115" s="351">
        <v>48605.5</v>
      </c>
      <c r="H115" s="352">
        <v>7461.0630272870476</v>
      </c>
      <c r="I115" s="353">
        <v>7461.0630272870476</v>
      </c>
      <c r="J115" s="54">
        <f t="shared" si="42"/>
        <v>0</v>
      </c>
      <c r="K115" s="54"/>
      <c r="L115" s="379">
        <f t="shared" si="63"/>
        <v>7461.0630272870476</v>
      </c>
      <c r="M115" s="380">
        <f t="shared" si="64"/>
        <v>0</v>
      </c>
      <c r="N115" s="379">
        <f t="shared" si="65"/>
        <v>7461.0630272870476</v>
      </c>
      <c r="O115" s="54">
        <f t="shared" si="66"/>
        <v>0</v>
      </c>
      <c r="P115" s="54">
        <f t="shared" si="45"/>
        <v>0</v>
      </c>
    </row>
    <row r="116" spans="2:16" ht="12.5">
      <c r="B116" s="7" t="str">
        <f t="shared" si="46"/>
        <v/>
      </c>
      <c r="C116" s="50">
        <f>IF(D93="","-",+C115+1)</f>
        <v>2024</v>
      </c>
      <c r="D116" s="349">
        <v>47651</v>
      </c>
      <c r="E116" s="352">
        <v>1909</v>
      </c>
      <c r="F116" s="351">
        <v>45742</v>
      </c>
      <c r="G116" s="351">
        <v>46696.5</v>
      </c>
      <c r="H116" s="352">
        <v>8181.2136301849741</v>
      </c>
      <c r="I116" s="353">
        <v>8181.2136301849741</v>
      </c>
      <c r="J116" s="54">
        <f t="shared" si="42"/>
        <v>0</v>
      </c>
      <c r="K116" s="54"/>
      <c r="L116" s="379">
        <f t="shared" ref="L116" si="67">H116</f>
        <v>8181.2136301849741</v>
      </c>
      <c r="M116" s="380">
        <f t="shared" ref="M116" si="68">IF(L116&lt;&gt;0,+H116-L116,0)</f>
        <v>0</v>
      </c>
      <c r="N116" s="379">
        <f t="shared" ref="N116" si="69">I116</f>
        <v>8181.2136301849741</v>
      </c>
      <c r="O116" s="54">
        <f t="shared" ref="O116" si="70">IF(N116&lt;&gt;0,+I116-N116,0)</f>
        <v>0</v>
      </c>
      <c r="P116" s="54">
        <f t="shared" ref="P116" si="71">+O116-M116</f>
        <v>0</v>
      </c>
    </row>
    <row r="117" spans="2:16" ht="12.5">
      <c r="B117" s="7" t="str">
        <f t="shared" si="46"/>
        <v/>
      </c>
      <c r="C117" s="50">
        <f>IF(D93="","-",+C116+1)</f>
        <v>2025</v>
      </c>
      <c r="D117" s="12">
        <f>IF(F116+SUM(E$99:E116)=D$92,F116,D$92-SUM(E$99:E116))</f>
        <v>45742</v>
      </c>
      <c r="E117" s="355">
        <f>IF(+J96&lt;F116,J96,D117)</f>
        <v>1961</v>
      </c>
      <c r="F117" s="55">
        <f t="shared" ref="F117:F154" si="72">+D117-E117</f>
        <v>43781</v>
      </c>
      <c r="G117" s="55">
        <f t="shared" ref="G117:G154" si="73">+(F117+D117)/2</f>
        <v>44761.5</v>
      </c>
      <c r="H117" s="356">
        <f t="shared" ref="H117:H154" si="74">+J$94*G117+E117</f>
        <v>7973.3069268044655</v>
      </c>
      <c r="I117" s="381">
        <f t="shared" ref="I117:I154" si="75">+J$95*G117+E117</f>
        <v>7973.3069268044655</v>
      </c>
      <c r="J117" s="54">
        <f t="shared" si="42"/>
        <v>0</v>
      </c>
      <c r="K117" s="54"/>
      <c r="L117" s="115"/>
      <c r="M117" s="54">
        <f t="shared" si="43"/>
        <v>0</v>
      </c>
      <c r="N117" s="115"/>
      <c r="O117" s="54">
        <f t="shared" si="44"/>
        <v>0</v>
      </c>
      <c r="P117" s="54">
        <f t="shared" si="45"/>
        <v>0</v>
      </c>
    </row>
    <row r="118" spans="2:16" ht="12.5">
      <c r="B118" s="7" t="str">
        <f t="shared" si="46"/>
        <v/>
      </c>
      <c r="C118" s="50">
        <f>IF(D93="","-",+C117+1)</f>
        <v>2026</v>
      </c>
      <c r="D118" s="12">
        <f>IF(F117+SUM(E$99:E117)=D$92,F117,D$92-SUM(E$99:E117))</f>
        <v>43781</v>
      </c>
      <c r="E118" s="355">
        <f>IF(+J96&lt;F117,J96,D118)</f>
        <v>1961</v>
      </c>
      <c r="F118" s="55">
        <f t="shared" si="72"/>
        <v>41820</v>
      </c>
      <c r="G118" s="55">
        <f t="shared" si="73"/>
        <v>42800.5</v>
      </c>
      <c r="H118" s="356">
        <f t="shared" si="74"/>
        <v>7709.9079369702649</v>
      </c>
      <c r="I118" s="381">
        <f t="shared" si="75"/>
        <v>7709.9079369702649</v>
      </c>
      <c r="J118" s="54">
        <f t="shared" si="42"/>
        <v>0</v>
      </c>
      <c r="K118" s="54"/>
      <c r="L118" s="115"/>
      <c r="M118" s="54">
        <f t="shared" si="43"/>
        <v>0</v>
      </c>
      <c r="N118" s="115"/>
      <c r="O118" s="54">
        <f t="shared" si="44"/>
        <v>0</v>
      </c>
      <c r="P118" s="54">
        <f t="shared" si="45"/>
        <v>0</v>
      </c>
    </row>
    <row r="119" spans="2:16" ht="12.5">
      <c r="B119" s="7" t="str">
        <f t="shared" si="46"/>
        <v/>
      </c>
      <c r="C119" s="50">
        <f>IF(D93="","-",+C118+1)</f>
        <v>2027</v>
      </c>
      <c r="D119" s="12">
        <f>IF(F118+SUM(E$99:E118)=D$92,F118,D$92-SUM(E$99:E118))</f>
        <v>41820</v>
      </c>
      <c r="E119" s="355">
        <f>IF(+J96&lt;F118,J96,D119)</f>
        <v>1961</v>
      </c>
      <c r="F119" s="55">
        <f t="shared" si="72"/>
        <v>39859</v>
      </c>
      <c r="G119" s="55">
        <f t="shared" si="73"/>
        <v>40839.5</v>
      </c>
      <c r="H119" s="356">
        <f t="shared" si="74"/>
        <v>7446.5089471360652</v>
      </c>
      <c r="I119" s="381">
        <f t="shared" si="75"/>
        <v>7446.5089471360652</v>
      </c>
      <c r="J119" s="54">
        <f t="shared" si="42"/>
        <v>0</v>
      </c>
      <c r="K119" s="54"/>
      <c r="L119" s="115"/>
      <c r="M119" s="54">
        <f t="shared" si="43"/>
        <v>0</v>
      </c>
      <c r="N119" s="115"/>
      <c r="O119" s="54">
        <f t="shared" si="44"/>
        <v>0</v>
      </c>
      <c r="P119" s="54">
        <f t="shared" si="45"/>
        <v>0</v>
      </c>
    </row>
    <row r="120" spans="2:16" ht="12.5">
      <c r="B120" s="7" t="str">
        <f t="shared" si="46"/>
        <v/>
      </c>
      <c r="C120" s="50">
        <f>IF(D93="","-",+C119+1)</f>
        <v>2028</v>
      </c>
      <c r="D120" s="12">
        <f>IF(F119+SUM(E$99:E119)=D$92,F119,D$92-SUM(E$99:E119))</f>
        <v>39859</v>
      </c>
      <c r="E120" s="355">
        <f>IF(+J96&lt;F119,J96,D120)</f>
        <v>1961</v>
      </c>
      <c r="F120" s="55">
        <f t="shared" si="72"/>
        <v>37898</v>
      </c>
      <c r="G120" s="55">
        <f t="shared" si="73"/>
        <v>38878.5</v>
      </c>
      <c r="H120" s="356">
        <f t="shared" si="74"/>
        <v>7183.1099573018646</v>
      </c>
      <c r="I120" s="381">
        <f t="shared" si="75"/>
        <v>7183.1099573018646</v>
      </c>
      <c r="J120" s="54">
        <f t="shared" si="42"/>
        <v>0</v>
      </c>
      <c r="K120" s="54"/>
      <c r="L120" s="115"/>
      <c r="M120" s="54">
        <f t="shared" si="43"/>
        <v>0</v>
      </c>
      <c r="N120" s="115"/>
      <c r="O120" s="54">
        <f t="shared" si="44"/>
        <v>0</v>
      </c>
      <c r="P120" s="54">
        <f t="shared" si="45"/>
        <v>0</v>
      </c>
    </row>
    <row r="121" spans="2:16" ht="12.5">
      <c r="B121" s="7" t="str">
        <f t="shared" si="46"/>
        <v/>
      </c>
      <c r="C121" s="50">
        <f>IF(D93="","-",+C120+1)</f>
        <v>2029</v>
      </c>
      <c r="D121" s="12">
        <f>IF(F120+SUM(E$99:E120)=D$92,F120,D$92-SUM(E$99:E120))</f>
        <v>37898</v>
      </c>
      <c r="E121" s="355">
        <f>IF(+J96&lt;F120,J96,D121)</f>
        <v>1961</v>
      </c>
      <c r="F121" s="55">
        <f t="shared" si="72"/>
        <v>35937</v>
      </c>
      <c r="G121" s="55">
        <f t="shared" si="73"/>
        <v>36917.5</v>
      </c>
      <c r="H121" s="356">
        <f t="shared" si="74"/>
        <v>6919.710967467664</v>
      </c>
      <c r="I121" s="381">
        <f t="shared" si="75"/>
        <v>6919.710967467664</v>
      </c>
      <c r="J121" s="54">
        <f t="shared" si="42"/>
        <v>0</v>
      </c>
      <c r="K121" s="54"/>
      <c r="L121" s="115"/>
      <c r="M121" s="54">
        <f t="shared" si="43"/>
        <v>0</v>
      </c>
      <c r="N121" s="115"/>
      <c r="O121" s="54">
        <f t="shared" si="44"/>
        <v>0</v>
      </c>
      <c r="P121" s="54">
        <f t="shared" si="45"/>
        <v>0</v>
      </c>
    </row>
    <row r="122" spans="2:16" ht="12.5">
      <c r="B122" s="7" t="str">
        <f t="shared" si="46"/>
        <v/>
      </c>
      <c r="C122" s="50">
        <f>IF(D93="","-",+C121+1)</f>
        <v>2030</v>
      </c>
      <c r="D122" s="12">
        <f>IF(F121+SUM(E$99:E121)=D$92,F121,D$92-SUM(E$99:E121))</f>
        <v>35937</v>
      </c>
      <c r="E122" s="355">
        <f>IF(+J96&lt;F121,J96,D122)</f>
        <v>1961</v>
      </c>
      <c r="F122" s="55">
        <f t="shared" si="72"/>
        <v>33976</v>
      </c>
      <c r="G122" s="55">
        <f t="shared" si="73"/>
        <v>34956.5</v>
      </c>
      <c r="H122" s="356">
        <f t="shared" si="74"/>
        <v>6656.3119776334643</v>
      </c>
      <c r="I122" s="381">
        <f t="shared" si="75"/>
        <v>6656.3119776334643</v>
      </c>
      <c r="J122" s="54">
        <f t="shared" si="42"/>
        <v>0</v>
      </c>
      <c r="K122" s="54"/>
      <c r="L122" s="115"/>
      <c r="M122" s="54">
        <f t="shared" si="43"/>
        <v>0</v>
      </c>
      <c r="N122" s="115"/>
      <c r="O122" s="54">
        <f t="shared" si="44"/>
        <v>0</v>
      </c>
      <c r="P122" s="54">
        <f t="shared" si="45"/>
        <v>0</v>
      </c>
    </row>
    <row r="123" spans="2:16" ht="12.5">
      <c r="B123" s="7" t="str">
        <f t="shared" si="46"/>
        <v/>
      </c>
      <c r="C123" s="50">
        <f>IF(D93="","-",+C122+1)</f>
        <v>2031</v>
      </c>
      <c r="D123" s="12">
        <f>IF(F122+SUM(E$99:E122)=D$92,F122,D$92-SUM(E$99:E122))</f>
        <v>33976</v>
      </c>
      <c r="E123" s="355">
        <f>IF(+J96&lt;F122,J96,D123)</f>
        <v>1961</v>
      </c>
      <c r="F123" s="55">
        <f t="shared" si="72"/>
        <v>32015</v>
      </c>
      <c r="G123" s="55">
        <f t="shared" si="73"/>
        <v>32995.5</v>
      </c>
      <c r="H123" s="356">
        <f t="shared" si="74"/>
        <v>6392.9129877992636</v>
      </c>
      <c r="I123" s="381">
        <f t="shared" si="75"/>
        <v>6392.9129877992636</v>
      </c>
      <c r="J123" s="54">
        <f t="shared" si="42"/>
        <v>0</v>
      </c>
      <c r="K123" s="54"/>
      <c r="L123" s="115"/>
      <c r="M123" s="54">
        <f t="shared" si="43"/>
        <v>0</v>
      </c>
      <c r="N123" s="115"/>
      <c r="O123" s="54">
        <f t="shared" si="44"/>
        <v>0</v>
      </c>
      <c r="P123" s="54">
        <f t="shared" si="45"/>
        <v>0</v>
      </c>
    </row>
    <row r="124" spans="2:16" ht="12.5">
      <c r="B124" s="7" t="str">
        <f t="shared" si="46"/>
        <v/>
      </c>
      <c r="C124" s="50">
        <f>IF(D93="","-",+C123+1)</f>
        <v>2032</v>
      </c>
      <c r="D124" s="12">
        <f>IF(F123+SUM(E$99:E123)=D$92,F123,D$92-SUM(E$99:E123))</f>
        <v>32015</v>
      </c>
      <c r="E124" s="355">
        <f>IF(+J96&lt;F123,J96,D124)</f>
        <v>1961</v>
      </c>
      <c r="F124" s="55">
        <f t="shared" si="72"/>
        <v>30054</v>
      </c>
      <c r="G124" s="55">
        <f t="shared" si="73"/>
        <v>31034.5</v>
      </c>
      <c r="H124" s="356">
        <f t="shared" si="74"/>
        <v>6129.513997965063</v>
      </c>
      <c r="I124" s="381">
        <f t="shared" si="75"/>
        <v>6129.513997965063</v>
      </c>
      <c r="J124" s="54">
        <f t="shared" si="42"/>
        <v>0</v>
      </c>
      <c r="K124" s="54"/>
      <c r="L124" s="115"/>
      <c r="M124" s="54">
        <f t="shared" si="43"/>
        <v>0</v>
      </c>
      <c r="N124" s="115"/>
      <c r="O124" s="54">
        <f t="shared" si="44"/>
        <v>0</v>
      </c>
      <c r="P124" s="54">
        <f t="shared" si="45"/>
        <v>0</v>
      </c>
    </row>
    <row r="125" spans="2:16" ht="12.5">
      <c r="B125" s="7" t="str">
        <f t="shared" si="46"/>
        <v/>
      </c>
      <c r="C125" s="50">
        <f>IF(D93="","-",+C124+1)</f>
        <v>2033</v>
      </c>
      <c r="D125" s="12">
        <f>IF(F124+SUM(E$99:E124)=D$92,F124,D$92-SUM(E$99:E124))</f>
        <v>30054</v>
      </c>
      <c r="E125" s="355">
        <f>IF(+J96&lt;F124,J96,D125)</f>
        <v>1961</v>
      </c>
      <c r="F125" s="55">
        <f t="shared" si="72"/>
        <v>28093</v>
      </c>
      <c r="G125" s="55">
        <f t="shared" si="73"/>
        <v>29073.5</v>
      </c>
      <c r="H125" s="356">
        <f t="shared" si="74"/>
        <v>5866.1150081308624</v>
      </c>
      <c r="I125" s="381">
        <f t="shared" si="75"/>
        <v>5866.1150081308624</v>
      </c>
      <c r="J125" s="54">
        <f t="shared" si="42"/>
        <v>0</v>
      </c>
      <c r="K125" s="54"/>
      <c r="L125" s="115"/>
      <c r="M125" s="54">
        <f t="shared" si="43"/>
        <v>0</v>
      </c>
      <c r="N125" s="115"/>
      <c r="O125" s="54">
        <f t="shared" si="44"/>
        <v>0</v>
      </c>
      <c r="P125" s="54">
        <f t="shared" si="45"/>
        <v>0</v>
      </c>
    </row>
    <row r="126" spans="2:16" ht="12.5">
      <c r="B126" s="7" t="str">
        <f t="shared" si="46"/>
        <v/>
      </c>
      <c r="C126" s="50">
        <f>IF(D93="","-",+C125+1)</f>
        <v>2034</v>
      </c>
      <c r="D126" s="12">
        <f>IF(F125+SUM(E$99:E125)=D$92,F125,D$92-SUM(E$99:E125))</f>
        <v>28093</v>
      </c>
      <c r="E126" s="355">
        <f>IF(+J96&lt;F125,J96,D126)</f>
        <v>1961</v>
      </c>
      <c r="F126" s="55">
        <f t="shared" si="72"/>
        <v>26132</v>
      </c>
      <c r="G126" s="55">
        <f t="shared" si="73"/>
        <v>27112.5</v>
      </c>
      <c r="H126" s="356">
        <f t="shared" si="74"/>
        <v>5602.7160182966627</v>
      </c>
      <c r="I126" s="381">
        <f t="shared" si="75"/>
        <v>5602.7160182966627</v>
      </c>
      <c r="J126" s="54">
        <f t="shared" si="42"/>
        <v>0</v>
      </c>
      <c r="K126" s="54"/>
      <c r="L126" s="115"/>
      <c r="M126" s="54">
        <f t="shared" si="43"/>
        <v>0</v>
      </c>
      <c r="N126" s="115"/>
      <c r="O126" s="54">
        <f t="shared" si="44"/>
        <v>0</v>
      </c>
      <c r="P126" s="54">
        <f t="shared" si="45"/>
        <v>0</v>
      </c>
    </row>
    <row r="127" spans="2:16" ht="12.5">
      <c r="B127" s="7" t="str">
        <f t="shared" si="46"/>
        <v/>
      </c>
      <c r="C127" s="50">
        <f>IF(D93="","-",+C126+1)</f>
        <v>2035</v>
      </c>
      <c r="D127" s="12">
        <f>IF(F126+SUM(E$99:E126)=D$92,F126,D$92-SUM(E$99:E126))</f>
        <v>26132</v>
      </c>
      <c r="E127" s="355">
        <f>IF(+J96&lt;F126,J96,D127)</f>
        <v>1961</v>
      </c>
      <c r="F127" s="55">
        <f t="shared" si="72"/>
        <v>24171</v>
      </c>
      <c r="G127" s="55">
        <f t="shared" si="73"/>
        <v>25151.5</v>
      </c>
      <c r="H127" s="356">
        <f t="shared" si="74"/>
        <v>5339.317028462463</v>
      </c>
      <c r="I127" s="381">
        <f t="shared" si="75"/>
        <v>5339.317028462463</v>
      </c>
      <c r="J127" s="54">
        <f t="shared" si="42"/>
        <v>0</v>
      </c>
      <c r="K127" s="54"/>
      <c r="L127" s="115"/>
      <c r="M127" s="54">
        <f t="shared" si="43"/>
        <v>0</v>
      </c>
      <c r="N127" s="115"/>
      <c r="O127" s="54">
        <f t="shared" si="44"/>
        <v>0</v>
      </c>
      <c r="P127" s="54">
        <f t="shared" si="45"/>
        <v>0</v>
      </c>
    </row>
    <row r="128" spans="2:16" ht="12.5">
      <c r="B128" s="7" t="str">
        <f t="shared" si="46"/>
        <v/>
      </c>
      <c r="C128" s="50">
        <f>IF(D93="","-",+C127+1)</f>
        <v>2036</v>
      </c>
      <c r="D128" s="12">
        <f>IF(F127+SUM(E$99:E127)=D$92,F127,D$92-SUM(E$99:E127))</f>
        <v>24171</v>
      </c>
      <c r="E128" s="355">
        <f>IF(+J96&lt;F127,J96,D128)</f>
        <v>1961</v>
      </c>
      <c r="F128" s="55">
        <f t="shared" si="72"/>
        <v>22210</v>
      </c>
      <c r="G128" s="55">
        <f t="shared" si="73"/>
        <v>23190.5</v>
      </c>
      <c r="H128" s="356">
        <f t="shared" si="74"/>
        <v>5075.9180386282624</v>
      </c>
      <c r="I128" s="381">
        <f t="shared" si="75"/>
        <v>5075.9180386282624</v>
      </c>
      <c r="J128" s="54">
        <f t="shared" si="42"/>
        <v>0</v>
      </c>
      <c r="K128" s="54"/>
      <c r="L128" s="115"/>
      <c r="M128" s="54">
        <f t="shared" si="43"/>
        <v>0</v>
      </c>
      <c r="N128" s="115"/>
      <c r="O128" s="54">
        <f t="shared" si="44"/>
        <v>0</v>
      </c>
      <c r="P128" s="54">
        <f t="shared" si="45"/>
        <v>0</v>
      </c>
    </row>
    <row r="129" spans="2:16" ht="12.5">
      <c r="B129" s="7" t="str">
        <f t="shared" si="46"/>
        <v/>
      </c>
      <c r="C129" s="50">
        <f>IF(D93="","-",+C128+1)</f>
        <v>2037</v>
      </c>
      <c r="D129" s="12">
        <f>IF(F128+SUM(E$99:E128)=D$92,F128,D$92-SUM(E$99:E128))</f>
        <v>22210</v>
      </c>
      <c r="E129" s="355">
        <f>IF(+J96&lt;F128,J96,D129)</f>
        <v>1961</v>
      </c>
      <c r="F129" s="55">
        <f t="shared" si="72"/>
        <v>20249</v>
      </c>
      <c r="G129" s="55">
        <f t="shared" si="73"/>
        <v>21229.5</v>
      </c>
      <c r="H129" s="356">
        <f t="shared" si="74"/>
        <v>4812.5190487940617</v>
      </c>
      <c r="I129" s="381">
        <f t="shared" si="75"/>
        <v>4812.5190487940617</v>
      </c>
      <c r="J129" s="54">
        <f t="shared" si="42"/>
        <v>0</v>
      </c>
      <c r="K129" s="54"/>
      <c r="L129" s="115"/>
      <c r="M129" s="54">
        <f t="shared" si="43"/>
        <v>0</v>
      </c>
      <c r="N129" s="115"/>
      <c r="O129" s="54">
        <f t="shared" si="44"/>
        <v>0</v>
      </c>
      <c r="P129" s="54">
        <f t="shared" si="45"/>
        <v>0</v>
      </c>
    </row>
    <row r="130" spans="2:16" ht="12.5">
      <c r="B130" s="7" t="str">
        <f t="shared" si="46"/>
        <v/>
      </c>
      <c r="C130" s="50">
        <f>IF(D93="","-",+C129+1)</f>
        <v>2038</v>
      </c>
      <c r="D130" s="12">
        <f>IF(F129+SUM(E$99:E129)=D$92,F129,D$92-SUM(E$99:E129))</f>
        <v>20249</v>
      </c>
      <c r="E130" s="355">
        <f>IF(+J96&lt;F129,J96,D130)</f>
        <v>1961</v>
      </c>
      <c r="F130" s="55">
        <f t="shared" si="72"/>
        <v>18288</v>
      </c>
      <c r="G130" s="55">
        <f t="shared" si="73"/>
        <v>19268.5</v>
      </c>
      <c r="H130" s="356">
        <f t="shared" si="74"/>
        <v>4549.1200589598611</v>
      </c>
      <c r="I130" s="381">
        <f t="shared" si="75"/>
        <v>4549.1200589598611</v>
      </c>
      <c r="J130" s="54">
        <f t="shared" si="42"/>
        <v>0</v>
      </c>
      <c r="K130" s="54"/>
      <c r="L130" s="115"/>
      <c r="M130" s="54">
        <f t="shared" si="43"/>
        <v>0</v>
      </c>
      <c r="N130" s="115"/>
      <c r="O130" s="54">
        <f t="shared" si="44"/>
        <v>0</v>
      </c>
      <c r="P130" s="54">
        <f t="shared" si="45"/>
        <v>0</v>
      </c>
    </row>
    <row r="131" spans="2:16" ht="12.5">
      <c r="B131" s="7" t="str">
        <f t="shared" si="46"/>
        <v/>
      </c>
      <c r="C131" s="50">
        <f>IF(D93="","-",+C130+1)</f>
        <v>2039</v>
      </c>
      <c r="D131" s="12">
        <f>IF(F130+SUM(E$99:E130)=D$92,F130,D$92-SUM(E$99:E130))</f>
        <v>18288</v>
      </c>
      <c r="E131" s="355">
        <f>IF(+J96&lt;F130,J96,D131)</f>
        <v>1961</v>
      </c>
      <c r="F131" s="55">
        <f t="shared" si="72"/>
        <v>16327</v>
      </c>
      <c r="G131" s="55">
        <f t="shared" si="73"/>
        <v>17307.5</v>
      </c>
      <c r="H131" s="356">
        <f t="shared" si="74"/>
        <v>4285.7210691256614</v>
      </c>
      <c r="I131" s="381">
        <f t="shared" si="75"/>
        <v>4285.7210691256614</v>
      </c>
      <c r="J131" s="54">
        <f t="shared" ref="J131:J154" si="76">+I540-H540</f>
        <v>0</v>
      </c>
      <c r="K131" s="54"/>
      <c r="L131" s="115"/>
      <c r="M131" s="54">
        <f t="shared" ref="M131:M154" si="77">IF(L540&lt;&gt;0,+H540-L540,0)</f>
        <v>0</v>
      </c>
      <c r="N131" s="115"/>
      <c r="O131" s="54">
        <f t="shared" ref="O131:O154" si="78">IF(N540&lt;&gt;0,+I540-N540,0)</f>
        <v>0</v>
      </c>
      <c r="P131" s="54">
        <f t="shared" ref="P131:P154" si="79">+O540-M540</f>
        <v>0</v>
      </c>
    </row>
    <row r="132" spans="2:16" ht="12.5">
      <c r="B132" s="7" t="str">
        <f t="shared" si="46"/>
        <v/>
      </c>
      <c r="C132" s="50">
        <f>IF(D93="","-",+C131+1)</f>
        <v>2040</v>
      </c>
      <c r="D132" s="12">
        <f>IF(F131+SUM(E$99:E131)=D$92,F131,D$92-SUM(E$99:E131))</f>
        <v>16327</v>
      </c>
      <c r="E132" s="355">
        <f>IF(+J96&lt;F131,J96,D132)</f>
        <v>1961</v>
      </c>
      <c r="F132" s="55">
        <f t="shared" si="72"/>
        <v>14366</v>
      </c>
      <c r="G132" s="55">
        <f t="shared" si="73"/>
        <v>15346.5</v>
      </c>
      <c r="H132" s="356">
        <f t="shared" si="74"/>
        <v>4022.3220792914608</v>
      </c>
      <c r="I132" s="381">
        <f t="shared" si="75"/>
        <v>4022.3220792914608</v>
      </c>
      <c r="J132" s="54">
        <f t="shared" si="76"/>
        <v>0</v>
      </c>
      <c r="K132" s="54"/>
      <c r="L132" s="115"/>
      <c r="M132" s="54">
        <f t="shared" si="77"/>
        <v>0</v>
      </c>
      <c r="N132" s="115"/>
      <c r="O132" s="54">
        <f t="shared" si="78"/>
        <v>0</v>
      </c>
      <c r="P132" s="54">
        <f t="shared" si="79"/>
        <v>0</v>
      </c>
    </row>
    <row r="133" spans="2:16" ht="12.5">
      <c r="B133" s="7" t="str">
        <f t="shared" si="46"/>
        <v/>
      </c>
      <c r="C133" s="50">
        <f>IF(D93="","-",+C132+1)</f>
        <v>2041</v>
      </c>
      <c r="D133" s="12">
        <f>IF(F132+SUM(E$99:E132)=D$92,F132,D$92-SUM(E$99:E132))</f>
        <v>14366</v>
      </c>
      <c r="E133" s="355">
        <f>IF(+J96&lt;F132,J96,D133)</f>
        <v>1961</v>
      </c>
      <c r="F133" s="55">
        <f t="shared" si="72"/>
        <v>12405</v>
      </c>
      <c r="G133" s="55">
        <f t="shared" si="73"/>
        <v>13385.5</v>
      </c>
      <c r="H133" s="356">
        <f t="shared" si="74"/>
        <v>3758.9230894572606</v>
      </c>
      <c r="I133" s="381">
        <f t="shared" si="75"/>
        <v>3758.9230894572606</v>
      </c>
      <c r="J133" s="54">
        <f t="shared" si="76"/>
        <v>0</v>
      </c>
      <c r="K133" s="54"/>
      <c r="L133" s="115"/>
      <c r="M133" s="54">
        <f t="shared" si="77"/>
        <v>0</v>
      </c>
      <c r="N133" s="115"/>
      <c r="O133" s="54">
        <f t="shared" si="78"/>
        <v>0</v>
      </c>
      <c r="P133" s="54">
        <f t="shared" si="79"/>
        <v>0</v>
      </c>
    </row>
    <row r="134" spans="2:16" ht="12.5">
      <c r="B134" s="7" t="str">
        <f t="shared" si="46"/>
        <v/>
      </c>
      <c r="C134" s="50">
        <f>IF(D93="","-",+C133+1)</f>
        <v>2042</v>
      </c>
      <c r="D134" s="12">
        <f>IF(F133+SUM(E$99:E133)=D$92,F133,D$92-SUM(E$99:E133))</f>
        <v>12405</v>
      </c>
      <c r="E134" s="355">
        <f>IF(+J96&lt;F133,J96,D134)</f>
        <v>1961</v>
      </c>
      <c r="F134" s="55">
        <f t="shared" si="72"/>
        <v>10444</v>
      </c>
      <c r="G134" s="55">
        <f t="shared" si="73"/>
        <v>11424.5</v>
      </c>
      <c r="H134" s="356">
        <f t="shared" si="74"/>
        <v>3495.5240996230605</v>
      </c>
      <c r="I134" s="381">
        <f t="shared" si="75"/>
        <v>3495.5240996230605</v>
      </c>
      <c r="J134" s="54">
        <f t="shared" si="76"/>
        <v>0</v>
      </c>
      <c r="K134" s="54"/>
      <c r="L134" s="115"/>
      <c r="M134" s="54">
        <f t="shared" si="77"/>
        <v>0</v>
      </c>
      <c r="N134" s="115"/>
      <c r="O134" s="54">
        <f t="shared" si="78"/>
        <v>0</v>
      </c>
      <c r="P134" s="54">
        <f t="shared" si="79"/>
        <v>0</v>
      </c>
    </row>
    <row r="135" spans="2:16" ht="12.5">
      <c r="B135" s="7" t="str">
        <f t="shared" si="46"/>
        <v/>
      </c>
      <c r="C135" s="50">
        <f>IF(D93="","-",+C134+1)</f>
        <v>2043</v>
      </c>
      <c r="D135" s="12">
        <f>IF(F134+SUM(E$99:E134)=D$92,F134,D$92-SUM(E$99:E134))</f>
        <v>10444</v>
      </c>
      <c r="E135" s="355">
        <f>IF(+J96&lt;F134,J96,D135)</f>
        <v>1961</v>
      </c>
      <c r="F135" s="55">
        <f t="shared" si="72"/>
        <v>8483</v>
      </c>
      <c r="G135" s="55">
        <f t="shared" si="73"/>
        <v>9463.5</v>
      </c>
      <c r="H135" s="356">
        <f t="shared" si="74"/>
        <v>3232.1251097888598</v>
      </c>
      <c r="I135" s="381">
        <f t="shared" si="75"/>
        <v>3232.1251097888598</v>
      </c>
      <c r="J135" s="54">
        <f t="shared" si="76"/>
        <v>0</v>
      </c>
      <c r="K135" s="54"/>
      <c r="L135" s="115"/>
      <c r="M135" s="54">
        <f t="shared" si="77"/>
        <v>0</v>
      </c>
      <c r="N135" s="115"/>
      <c r="O135" s="54">
        <f t="shared" si="78"/>
        <v>0</v>
      </c>
      <c r="P135" s="54">
        <f t="shared" si="79"/>
        <v>0</v>
      </c>
    </row>
    <row r="136" spans="2:16" ht="12.5">
      <c r="B136" s="7" t="str">
        <f t="shared" si="46"/>
        <v/>
      </c>
      <c r="C136" s="50">
        <f>IF(D93="","-",+C135+1)</f>
        <v>2044</v>
      </c>
      <c r="D136" s="12">
        <f>IF(F135+SUM(E$99:E135)=D$92,F135,D$92-SUM(E$99:E135))</f>
        <v>8483</v>
      </c>
      <c r="E136" s="355">
        <f>IF(+J96&lt;F135,J96,D136)</f>
        <v>1961</v>
      </c>
      <c r="F136" s="55">
        <f t="shared" si="72"/>
        <v>6522</v>
      </c>
      <c r="G136" s="55">
        <f t="shared" si="73"/>
        <v>7502.5</v>
      </c>
      <c r="H136" s="356">
        <f t="shared" si="74"/>
        <v>2968.7261199546597</v>
      </c>
      <c r="I136" s="381">
        <f t="shared" si="75"/>
        <v>2968.7261199546597</v>
      </c>
      <c r="J136" s="54">
        <f t="shared" si="76"/>
        <v>0</v>
      </c>
      <c r="K136" s="54"/>
      <c r="L136" s="115"/>
      <c r="M136" s="54">
        <f t="shared" si="77"/>
        <v>0</v>
      </c>
      <c r="N136" s="115"/>
      <c r="O136" s="54">
        <f t="shared" si="78"/>
        <v>0</v>
      </c>
      <c r="P136" s="54">
        <f t="shared" si="79"/>
        <v>0</v>
      </c>
    </row>
    <row r="137" spans="2:16" ht="12.5">
      <c r="B137" s="7" t="str">
        <f t="shared" si="46"/>
        <v/>
      </c>
      <c r="C137" s="50">
        <f>IF(D93="","-",+C136+1)</f>
        <v>2045</v>
      </c>
      <c r="D137" s="12">
        <f>IF(F136+SUM(E$99:E136)=D$92,F136,D$92-SUM(E$99:E136))</f>
        <v>6522</v>
      </c>
      <c r="E137" s="355">
        <f>IF(+J96&lt;F136,J96,D137)</f>
        <v>1961</v>
      </c>
      <c r="F137" s="55">
        <f t="shared" si="72"/>
        <v>4561</v>
      </c>
      <c r="G137" s="55">
        <f t="shared" si="73"/>
        <v>5541.5</v>
      </c>
      <c r="H137" s="356">
        <f t="shared" si="74"/>
        <v>2705.3271301204595</v>
      </c>
      <c r="I137" s="381">
        <f t="shared" si="75"/>
        <v>2705.3271301204595</v>
      </c>
      <c r="J137" s="54">
        <f t="shared" si="76"/>
        <v>0</v>
      </c>
      <c r="K137" s="54"/>
      <c r="L137" s="115"/>
      <c r="M137" s="54">
        <f t="shared" si="77"/>
        <v>0</v>
      </c>
      <c r="N137" s="115"/>
      <c r="O137" s="54">
        <f t="shared" si="78"/>
        <v>0</v>
      </c>
      <c r="P137" s="54">
        <f t="shared" si="79"/>
        <v>0</v>
      </c>
    </row>
    <row r="138" spans="2:16" ht="12.5">
      <c r="B138" s="7" t="str">
        <f t="shared" si="46"/>
        <v/>
      </c>
      <c r="C138" s="50">
        <f>IF(D93="","-",+C137+1)</f>
        <v>2046</v>
      </c>
      <c r="D138" s="12">
        <f>IF(F137+SUM(E$99:E137)=D$92,F137,D$92-SUM(E$99:E137))</f>
        <v>4561</v>
      </c>
      <c r="E138" s="355">
        <f>IF(+J96&lt;F137,J96,D138)</f>
        <v>1961</v>
      </c>
      <c r="F138" s="55">
        <f t="shared" si="72"/>
        <v>2600</v>
      </c>
      <c r="G138" s="55">
        <f t="shared" si="73"/>
        <v>3580.5</v>
      </c>
      <c r="H138" s="356">
        <f t="shared" si="74"/>
        <v>2441.9281402862589</v>
      </c>
      <c r="I138" s="381">
        <f t="shared" si="75"/>
        <v>2441.9281402862589</v>
      </c>
      <c r="J138" s="54">
        <f t="shared" si="76"/>
        <v>0</v>
      </c>
      <c r="K138" s="54"/>
      <c r="L138" s="115"/>
      <c r="M138" s="54">
        <f t="shared" si="77"/>
        <v>0</v>
      </c>
      <c r="N138" s="115"/>
      <c r="O138" s="54">
        <f t="shared" si="78"/>
        <v>0</v>
      </c>
      <c r="P138" s="54">
        <f t="shared" si="79"/>
        <v>0</v>
      </c>
    </row>
    <row r="139" spans="2:16" ht="12.5">
      <c r="B139" s="7" t="str">
        <f t="shared" si="46"/>
        <v/>
      </c>
      <c r="C139" s="50">
        <f>IF(D93="","-",+C138+1)</f>
        <v>2047</v>
      </c>
      <c r="D139" s="12">
        <f>IF(F138+SUM(E$99:E138)=D$92,F138,D$92-SUM(E$99:E138))</f>
        <v>2600</v>
      </c>
      <c r="E139" s="355">
        <f>IF(+J96&lt;F138,J96,D139)</f>
        <v>1961</v>
      </c>
      <c r="F139" s="55">
        <f t="shared" si="72"/>
        <v>639</v>
      </c>
      <c r="G139" s="55">
        <f t="shared" si="73"/>
        <v>1619.5</v>
      </c>
      <c r="H139" s="356">
        <f t="shared" si="74"/>
        <v>2178.5291504520587</v>
      </c>
      <c r="I139" s="381">
        <f t="shared" si="75"/>
        <v>2178.5291504520587</v>
      </c>
      <c r="J139" s="54">
        <f t="shared" si="76"/>
        <v>0</v>
      </c>
      <c r="K139" s="54"/>
      <c r="L139" s="115"/>
      <c r="M139" s="54">
        <f t="shared" si="77"/>
        <v>0</v>
      </c>
      <c r="N139" s="115"/>
      <c r="O139" s="54">
        <f t="shared" si="78"/>
        <v>0</v>
      </c>
      <c r="P139" s="54">
        <f t="shared" si="79"/>
        <v>0</v>
      </c>
    </row>
    <row r="140" spans="2:16" ht="12.5">
      <c r="B140" s="7" t="str">
        <f t="shared" si="46"/>
        <v/>
      </c>
      <c r="C140" s="50">
        <f>IF(D93="","-",+C139+1)</f>
        <v>2048</v>
      </c>
      <c r="D140" s="12">
        <f>IF(F139+SUM(E$99:E139)=D$92,F139,D$92-SUM(E$99:E139))</f>
        <v>639</v>
      </c>
      <c r="E140" s="355">
        <f>IF(+J96&lt;F139,J96,D140)</f>
        <v>639</v>
      </c>
      <c r="F140" s="55">
        <f t="shared" si="72"/>
        <v>0</v>
      </c>
      <c r="G140" s="55">
        <f t="shared" si="73"/>
        <v>319.5</v>
      </c>
      <c r="H140" s="356">
        <f t="shared" si="74"/>
        <v>681.91482776747932</v>
      </c>
      <c r="I140" s="381">
        <f t="shared" si="75"/>
        <v>681.91482776747932</v>
      </c>
      <c r="J140" s="54">
        <f t="shared" si="76"/>
        <v>0</v>
      </c>
      <c r="K140" s="54"/>
      <c r="L140" s="115"/>
      <c r="M140" s="54">
        <f t="shared" si="77"/>
        <v>0</v>
      </c>
      <c r="N140" s="115"/>
      <c r="O140" s="54">
        <f t="shared" si="78"/>
        <v>0</v>
      </c>
      <c r="P140" s="54">
        <f t="shared" si="79"/>
        <v>0</v>
      </c>
    </row>
    <row r="141" spans="2:16" ht="12.5">
      <c r="B141" s="7" t="str">
        <f t="shared" si="46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2"/>
        <v>0</v>
      </c>
      <c r="G141" s="55">
        <f t="shared" si="73"/>
        <v>0</v>
      </c>
      <c r="H141" s="356">
        <f t="shared" si="74"/>
        <v>0</v>
      </c>
      <c r="I141" s="381">
        <f t="shared" si="75"/>
        <v>0</v>
      </c>
      <c r="J141" s="54">
        <f t="shared" si="76"/>
        <v>0</v>
      </c>
      <c r="K141" s="54"/>
      <c r="L141" s="115"/>
      <c r="M141" s="54">
        <f t="shared" si="77"/>
        <v>0</v>
      </c>
      <c r="N141" s="115"/>
      <c r="O141" s="54">
        <f t="shared" si="78"/>
        <v>0</v>
      </c>
      <c r="P141" s="54">
        <f t="shared" si="79"/>
        <v>0</v>
      </c>
    </row>
    <row r="142" spans="2:16" ht="12.5">
      <c r="B142" s="7" t="str">
        <f t="shared" si="46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2"/>
        <v>0</v>
      </c>
      <c r="G142" s="55">
        <f t="shared" si="73"/>
        <v>0</v>
      </c>
      <c r="H142" s="356">
        <f t="shared" si="74"/>
        <v>0</v>
      </c>
      <c r="I142" s="381">
        <f t="shared" si="75"/>
        <v>0</v>
      </c>
      <c r="J142" s="54">
        <f t="shared" si="76"/>
        <v>0</v>
      </c>
      <c r="K142" s="54"/>
      <c r="L142" s="115"/>
      <c r="M142" s="54">
        <f t="shared" si="77"/>
        <v>0</v>
      </c>
      <c r="N142" s="115"/>
      <c r="O142" s="54">
        <f t="shared" si="78"/>
        <v>0</v>
      </c>
      <c r="P142" s="54">
        <f t="shared" si="79"/>
        <v>0</v>
      </c>
    </row>
    <row r="143" spans="2:16" ht="12.5">
      <c r="B143" s="7" t="str">
        <f t="shared" si="46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2"/>
        <v>0</v>
      </c>
      <c r="G143" s="55">
        <f t="shared" si="73"/>
        <v>0</v>
      </c>
      <c r="H143" s="356">
        <f t="shared" si="74"/>
        <v>0</v>
      </c>
      <c r="I143" s="381">
        <f t="shared" si="75"/>
        <v>0</v>
      </c>
      <c r="J143" s="54">
        <f t="shared" si="76"/>
        <v>0</v>
      </c>
      <c r="K143" s="54"/>
      <c r="L143" s="115"/>
      <c r="M143" s="54">
        <f t="shared" si="77"/>
        <v>0</v>
      </c>
      <c r="N143" s="115"/>
      <c r="O143" s="54">
        <f t="shared" si="78"/>
        <v>0</v>
      </c>
      <c r="P143" s="54">
        <f t="shared" si="79"/>
        <v>0</v>
      </c>
    </row>
    <row r="144" spans="2:16" ht="12.5">
      <c r="B144" s="7" t="str">
        <f t="shared" si="46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2"/>
        <v>0</v>
      </c>
      <c r="G144" s="55">
        <f t="shared" si="73"/>
        <v>0</v>
      </c>
      <c r="H144" s="356">
        <f t="shared" si="74"/>
        <v>0</v>
      </c>
      <c r="I144" s="381">
        <f t="shared" si="75"/>
        <v>0</v>
      </c>
      <c r="J144" s="54">
        <f t="shared" si="76"/>
        <v>0</v>
      </c>
      <c r="K144" s="54"/>
      <c r="L144" s="115"/>
      <c r="M144" s="54">
        <f t="shared" si="77"/>
        <v>0</v>
      </c>
      <c r="N144" s="115"/>
      <c r="O144" s="54">
        <f t="shared" si="78"/>
        <v>0</v>
      </c>
      <c r="P144" s="54">
        <f t="shared" si="79"/>
        <v>0</v>
      </c>
    </row>
    <row r="145" spans="2:16" ht="12.5">
      <c r="B145" s="7" t="str">
        <f t="shared" si="46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2"/>
        <v>0</v>
      </c>
      <c r="G145" s="55">
        <f t="shared" si="73"/>
        <v>0</v>
      </c>
      <c r="H145" s="356">
        <f t="shared" si="74"/>
        <v>0</v>
      </c>
      <c r="I145" s="381">
        <f t="shared" si="75"/>
        <v>0</v>
      </c>
      <c r="J145" s="54">
        <f t="shared" si="76"/>
        <v>0</v>
      </c>
      <c r="K145" s="54"/>
      <c r="L145" s="115"/>
      <c r="M145" s="54">
        <f t="shared" si="77"/>
        <v>0</v>
      </c>
      <c r="N145" s="115"/>
      <c r="O145" s="54">
        <f t="shared" si="78"/>
        <v>0</v>
      </c>
      <c r="P145" s="54">
        <f t="shared" si="79"/>
        <v>0</v>
      </c>
    </row>
    <row r="146" spans="2:16" ht="12.5">
      <c r="B146" s="7" t="str">
        <f t="shared" si="46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2"/>
        <v>0</v>
      </c>
      <c r="G146" s="55">
        <f t="shared" si="73"/>
        <v>0</v>
      </c>
      <c r="H146" s="356">
        <f t="shared" si="74"/>
        <v>0</v>
      </c>
      <c r="I146" s="381">
        <f t="shared" si="75"/>
        <v>0</v>
      </c>
      <c r="J146" s="54">
        <f t="shared" si="76"/>
        <v>0</v>
      </c>
      <c r="K146" s="54"/>
      <c r="L146" s="115"/>
      <c r="M146" s="54">
        <f t="shared" si="77"/>
        <v>0</v>
      </c>
      <c r="N146" s="115"/>
      <c r="O146" s="54">
        <f t="shared" si="78"/>
        <v>0</v>
      </c>
      <c r="P146" s="54">
        <f t="shared" si="79"/>
        <v>0</v>
      </c>
    </row>
    <row r="147" spans="2:16" ht="12.5">
      <c r="B147" s="7" t="str">
        <f t="shared" si="46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2"/>
        <v>0</v>
      </c>
      <c r="G147" s="55">
        <f t="shared" si="73"/>
        <v>0</v>
      </c>
      <c r="H147" s="356">
        <f t="shared" si="74"/>
        <v>0</v>
      </c>
      <c r="I147" s="381">
        <f t="shared" si="75"/>
        <v>0</v>
      </c>
      <c r="J147" s="54">
        <f t="shared" si="76"/>
        <v>0</v>
      </c>
      <c r="K147" s="54"/>
      <c r="L147" s="115"/>
      <c r="M147" s="54">
        <f t="shared" si="77"/>
        <v>0</v>
      </c>
      <c r="N147" s="115"/>
      <c r="O147" s="54">
        <f t="shared" si="78"/>
        <v>0</v>
      </c>
      <c r="P147" s="54">
        <f t="shared" si="79"/>
        <v>0</v>
      </c>
    </row>
    <row r="148" spans="2:16" ht="12.5">
      <c r="B148" s="7" t="str">
        <f t="shared" si="46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2"/>
        <v>0</v>
      </c>
      <c r="G148" s="55">
        <f t="shared" si="73"/>
        <v>0</v>
      </c>
      <c r="H148" s="356">
        <f t="shared" si="74"/>
        <v>0</v>
      </c>
      <c r="I148" s="381">
        <f t="shared" si="75"/>
        <v>0</v>
      </c>
      <c r="J148" s="54">
        <f t="shared" si="76"/>
        <v>0</v>
      </c>
      <c r="K148" s="54"/>
      <c r="L148" s="115"/>
      <c r="M148" s="54">
        <f t="shared" si="77"/>
        <v>0</v>
      </c>
      <c r="N148" s="115"/>
      <c r="O148" s="54">
        <f t="shared" si="78"/>
        <v>0</v>
      </c>
      <c r="P148" s="54">
        <f t="shared" si="79"/>
        <v>0</v>
      </c>
    </row>
    <row r="149" spans="2:16" ht="12.5">
      <c r="B149" s="7" t="str">
        <f t="shared" si="46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2"/>
        <v>0</v>
      </c>
      <c r="G149" s="55">
        <f t="shared" si="73"/>
        <v>0</v>
      </c>
      <c r="H149" s="356">
        <f t="shared" si="74"/>
        <v>0</v>
      </c>
      <c r="I149" s="381">
        <f t="shared" si="75"/>
        <v>0</v>
      </c>
      <c r="J149" s="54">
        <f t="shared" si="76"/>
        <v>0</v>
      </c>
      <c r="K149" s="54"/>
      <c r="L149" s="115"/>
      <c r="M149" s="54">
        <f t="shared" si="77"/>
        <v>0</v>
      </c>
      <c r="N149" s="115"/>
      <c r="O149" s="54">
        <f t="shared" si="78"/>
        <v>0</v>
      </c>
      <c r="P149" s="54">
        <f t="shared" si="79"/>
        <v>0</v>
      </c>
    </row>
    <row r="150" spans="2:16" ht="12.5">
      <c r="B150" s="7" t="str">
        <f t="shared" si="46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2"/>
        <v>0</v>
      </c>
      <c r="G150" s="55">
        <f t="shared" si="73"/>
        <v>0</v>
      </c>
      <c r="H150" s="356">
        <f t="shared" si="74"/>
        <v>0</v>
      </c>
      <c r="I150" s="381">
        <f t="shared" si="75"/>
        <v>0</v>
      </c>
      <c r="J150" s="54">
        <f t="shared" si="76"/>
        <v>0</v>
      </c>
      <c r="K150" s="54"/>
      <c r="L150" s="115"/>
      <c r="M150" s="54">
        <f t="shared" si="77"/>
        <v>0</v>
      </c>
      <c r="N150" s="115"/>
      <c r="O150" s="54">
        <f t="shared" si="78"/>
        <v>0</v>
      </c>
      <c r="P150" s="54">
        <f t="shared" si="79"/>
        <v>0</v>
      </c>
    </row>
    <row r="151" spans="2:16" ht="12.5">
      <c r="B151" s="7" t="str">
        <f t="shared" si="46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2"/>
        <v>0</v>
      </c>
      <c r="G151" s="55">
        <f t="shared" si="73"/>
        <v>0</v>
      </c>
      <c r="H151" s="356">
        <f t="shared" si="74"/>
        <v>0</v>
      </c>
      <c r="I151" s="381">
        <f t="shared" si="75"/>
        <v>0</v>
      </c>
      <c r="J151" s="54">
        <f t="shared" si="76"/>
        <v>0</v>
      </c>
      <c r="K151" s="54"/>
      <c r="L151" s="115"/>
      <c r="M151" s="54">
        <f t="shared" si="77"/>
        <v>0</v>
      </c>
      <c r="N151" s="115"/>
      <c r="O151" s="54">
        <f t="shared" si="78"/>
        <v>0</v>
      </c>
      <c r="P151" s="54">
        <f t="shared" si="79"/>
        <v>0</v>
      </c>
    </row>
    <row r="152" spans="2:16" ht="12.5">
      <c r="B152" s="7" t="str">
        <f t="shared" si="46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2"/>
        <v>0</v>
      </c>
      <c r="G152" s="55">
        <f t="shared" si="73"/>
        <v>0</v>
      </c>
      <c r="H152" s="356">
        <f t="shared" si="74"/>
        <v>0</v>
      </c>
      <c r="I152" s="381">
        <f t="shared" si="75"/>
        <v>0</v>
      </c>
      <c r="J152" s="54">
        <f t="shared" si="76"/>
        <v>0</v>
      </c>
      <c r="K152" s="54"/>
      <c r="L152" s="115"/>
      <c r="M152" s="54">
        <f t="shared" si="77"/>
        <v>0</v>
      </c>
      <c r="N152" s="115"/>
      <c r="O152" s="54">
        <f t="shared" si="78"/>
        <v>0</v>
      </c>
      <c r="P152" s="54">
        <f t="shared" si="79"/>
        <v>0</v>
      </c>
    </row>
    <row r="153" spans="2:16" ht="12.5">
      <c r="B153" s="7" t="str">
        <f t="shared" si="46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2"/>
        <v>0</v>
      </c>
      <c r="G153" s="55">
        <f t="shared" si="73"/>
        <v>0</v>
      </c>
      <c r="H153" s="356">
        <f t="shared" si="74"/>
        <v>0</v>
      </c>
      <c r="I153" s="381">
        <f t="shared" si="75"/>
        <v>0</v>
      </c>
      <c r="J153" s="54">
        <f t="shared" si="76"/>
        <v>0</v>
      </c>
      <c r="K153" s="54"/>
      <c r="L153" s="115"/>
      <c r="M153" s="54">
        <f t="shared" si="77"/>
        <v>0</v>
      </c>
      <c r="N153" s="115"/>
      <c r="O153" s="54">
        <f t="shared" si="78"/>
        <v>0</v>
      </c>
      <c r="P153" s="54">
        <f t="shared" si="79"/>
        <v>0</v>
      </c>
    </row>
    <row r="154" spans="2:16" ht="13" thickBot="1">
      <c r="B154" s="7" t="str">
        <f t="shared" si="46"/>
        <v/>
      </c>
      <c r="C154" s="58">
        <f>IF(D93="","-",+C153+1)</f>
        <v>2062</v>
      </c>
      <c r="D154" s="59">
        <f>IF(F153+SUM(E$99:E153)=D$92,F153,D$92-SUM(E$99:E153))</f>
        <v>0</v>
      </c>
      <c r="E154" s="382">
        <f>IF(+J96&lt;F153,J96,D154)</f>
        <v>0</v>
      </c>
      <c r="F154" s="59">
        <f t="shared" si="72"/>
        <v>0</v>
      </c>
      <c r="G154" s="59">
        <f t="shared" si="73"/>
        <v>0</v>
      </c>
      <c r="H154" s="358">
        <f t="shared" si="74"/>
        <v>0</v>
      </c>
      <c r="I154" s="383">
        <f t="shared" si="75"/>
        <v>0</v>
      </c>
      <c r="J154" s="62">
        <f t="shared" si="76"/>
        <v>0</v>
      </c>
      <c r="K154" s="54"/>
      <c r="L154" s="116"/>
      <c r="M154" s="62">
        <f t="shared" si="77"/>
        <v>0</v>
      </c>
      <c r="N154" s="116"/>
      <c r="O154" s="62">
        <f t="shared" si="78"/>
        <v>0</v>
      </c>
      <c r="P154" s="62">
        <f t="shared" si="79"/>
        <v>0</v>
      </c>
    </row>
    <row r="155" spans="2:16" ht="12.5">
      <c r="C155" s="12" t="s">
        <v>77</v>
      </c>
      <c r="D155" s="267"/>
      <c r="E155" s="267">
        <f>SUM(E99:E154)</f>
        <v>72551</v>
      </c>
      <c r="F155" s="267"/>
      <c r="G155" s="267"/>
      <c r="H155" s="267">
        <f>SUM(H99:H154)</f>
        <v>285201.06993242598</v>
      </c>
      <c r="I155" s="267">
        <f>SUM(I99:I154)</f>
        <v>285201.06993242598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">
    <tabColor rgb="FFC00000"/>
  </sheetPr>
  <dimension ref="A1:V162"/>
  <sheetViews>
    <sheetView topLeftCell="A145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10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9653.21052631579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9653.21052631579</v>
      </c>
      <c r="O6" s="1"/>
      <c r="P6" s="1"/>
    </row>
    <row r="7" spans="1:16" ht="13.5" thickBot="1">
      <c r="C7" s="26" t="s">
        <v>46</v>
      </c>
      <c r="D7" s="97" t="s">
        <v>258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221</v>
      </c>
      <c r="E9" s="404" t="s">
        <v>345</v>
      </c>
      <c r="F9" s="32"/>
      <c r="G9" s="452" t="s">
        <v>396</v>
      </c>
      <c r="H9" s="32"/>
      <c r="I9" s="33"/>
      <c r="J9" s="34"/>
      <c r="P9" s="1"/>
    </row>
    <row r="10" spans="1:16" ht="13">
      <c r="C10" s="128" t="s">
        <v>226</v>
      </c>
      <c r="D10" s="336">
        <v>96566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2541.2105263157896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2010</v>
      </c>
      <c r="D17" s="349">
        <v>135400</v>
      </c>
      <c r="E17" s="350">
        <v>1209</v>
      </c>
      <c r="F17" s="349">
        <v>134191</v>
      </c>
      <c r="G17" s="350">
        <v>20572</v>
      </c>
      <c r="H17" s="353">
        <v>20572</v>
      </c>
      <c r="I17" s="52">
        <f t="shared" ref="I17:I48" si="0">H17-G17</f>
        <v>0</v>
      </c>
      <c r="J17" s="52"/>
      <c r="K17" s="117">
        <f t="shared" ref="K17:K22" si="1">G17</f>
        <v>20572</v>
      </c>
      <c r="L17" s="53">
        <f t="shared" ref="L17:L48" si="2">IF(K17&lt;&gt;0,+G17-K17,0)</f>
        <v>0</v>
      </c>
      <c r="M17" s="117">
        <f t="shared" ref="M17:M22" si="3">H17</f>
        <v>20572</v>
      </c>
      <c r="N17" s="53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351">
        <v>95357</v>
      </c>
      <c r="E18" s="352">
        <v>1893.4509803921569</v>
      </c>
      <c r="F18" s="351">
        <v>93463.549019607846</v>
      </c>
      <c r="G18" s="352">
        <v>16524.450980392157</v>
      </c>
      <c r="H18" s="353">
        <v>16524.450980392157</v>
      </c>
      <c r="I18" s="52">
        <f t="shared" si="0"/>
        <v>0</v>
      </c>
      <c r="J18" s="52"/>
      <c r="K18" s="324">
        <f t="shared" si="1"/>
        <v>16524.450980392157</v>
      </c>
      <c r="L18" s="54">
        <f t="shared" si="2"/>
        <v>0</v>
      </c>
      <c r="M18" s="324">
        <f t="shared" si="3"/>
        <v>16524.450980392157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351">
        <v>93463.549019607846</v>
      </c>
      <c r="E19" s="352">
        <v>1857.0384615384614</v>
      </c>
      <c r="F19" s="351">
        <v>91606.510558069378</v>
      </c>
      <c r="G19" s="352">
        <v>14609.038461538461</v>
      </c>
      <c r="H19" s="353">
        <v>14609.038461538461</v>
      </c>
      <c r="I19" s="52">
        <f t="shared" si="0"/>
        <v>0</v>
      </c>
      <c r="J19" s="52"/>
      <c r="K19" s="324">
        <f t="shared" si="1"/>
        <v>14609.038461538461</v>
      </c>
      <c r="L19" s="54">
        <f t="shared" si="2"/>
        <v>0</v>
      </c>
      <c r="M19" s="324">
        <f t="shared" si="3"/>
        <v>14609.038461538461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2013</v>
      </c>
      <c r="D20" s="351">
        <v>91606.510558069378</v>
      </c>
      <c r="E20" s="352">
        <v>1857.0384615384614</v>
      </c>
      <c r="F20" s="351">
        <v>89749.47209653091</v>
      </c>
      <c r="G20" s="352">
        <v>14674.038461538461</v>
      </c>
      <c r="H20" s="353">
        <v>14674.038461538461</v>
      </c>
      <c r="I20" s="52">
        <v>0</v>
      </c>
      <c r="J20" s="52"/>
      <c r="K20" s="324">
        <f t="shared" si="1"/>
        <v>14674.038461538461</v>
      </c>
      <c r="L20" s="54">
        <f t="shared" ref="L20:L25" si="7">IF(K20&lt;&gt;0,+G20-K20,0)</f>
        <v>0</v>
      </c>
      <c r="M20" s="324">
        <f t="shared" si="3"/>
        <v>14674.038461538461</v>
      </c>
      <c r="N20" s="54">
        <f t="shared" ref="N20:N25" si="8">IF(M20&lt;&gt;0,+H20-M20,0)</f>
        <v>0</v>
      </c>
      <c r="O20" s="54">
        <f t="shared" ref="O20:O25" si="9">+N20-L20</f>
        <v>0</v>
      </c>
      <c r="P20" s="1"/>
    </row>
    <row r="21" spans="2:16" ht="12.5">
      <c r="B21" s="7" t="str">
        <f t="shared" si="6"/>
        <v/>
      </c>
      <c r="C21" s="50">
        <f>IF(D11="","-",+C20+1)</f>
        <v>2014</v>
      </c>
      <c r="D21" s="351">
        <v>89749.47209653091</v>
      </c>
      <c r="E21" s="352">
        <v>1857.0384615384614</v>
      </c>
      <c r="F21" s="351">
        <v>87892.433634992442</v>
      </c>
      <c r="G21" s="352">
        <v>13956.038461538461</v>
      </c>
      <c r="H21" s="353">
        <v>13956.038461538461</v>
      </c>
      <c r="I21" s="52">
        <v>0</v>
      </c>
      <c r="J21" s="52"/>
      <c r="K21" s="324">
        <f t="shared" si="1"/>
        <v>13956.038461538461</v>
      </c>
      <c r="L21" s="54">
        <f t="shared" si="7"/>
        <v>0</v>
      </c>
      <c r="M21" s="324">
        <f t="shared" si="3"/>
        <v>13956.038461538461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2015</v>
      </c>
      <c r="D22" s="351">
        <v>87892.433634992442</v>
      </c>
      <c r="E22" s="352">
        <v>1857.0384615384614</v>
      </c>
      <c r="F22" s="351">
        <v>86035.395173453973</v>
      </c>
      <c r="G22" s="352">
        <v>13719.038461538461</v>
      </c>
      <c r="H22" s="353">
        <v>13719.038461538461</v>
      </c>
      <c r="I22" s="52">
        <v>0</v>
      </c>
      <c r="J22" s="52"/>
      <c r="K22" s="324">
        <f t="shared" si="1"/>
        <v>13719.038461538461</v>
      </c>
      <c r="L22" s="54">
        <f t="shared" si="7"/>
        <v>0</v>
      </c>
      <c r="M22" s="324">
        <f t="shared" si="3"/>
        <v>13719.038461538461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2016</v>
      </c>
      <c r="D23" s="351">
        <v>86035.395173453973</v>
      </c>
      <c r="E23" s="352">
        <v>1857.0384615384614</v>
      </c>
      <c r="F23" s="351">
        <v>84178.356711915505</v>
      </c>
      <c r="G23" s="352">
        <v>12898.038461538461</v>
      </c>
      <c r="H23" s="353">
        <v>12898.038461538461</v>
      </c>
      <c r="I23" s="52">
        <f t="shared" si="0"/>
        <v>0</v>
      </c>
      <c r="J23" s="52"/>
      <c r="K23" s="324">
        <f t="shared" ref="K23:K28" si="10">G23</f>
        <v>12898.038461538461</v>
      </c>
      <c r="L23" s="54">
        <f t="shared" si="7"/>
        <v>0</v>
      </c>
      <c r="M23" s="324">
        <f t="shared" ref="M23:M28" si="11">H23</f>
        <v>12898.038461538461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2017</v>
      </c>
      <c r="D24" s="351">
        <v>84178.356711915505</v>
      </c>
      <c r="E24" s="352">
        <v>2099.2608695652175</v>
      </c>
      <c r="F24" s="351">
        <v>82079.095842350289</v>
      </c>
      <c r="G24" s="352">
        <v>12544.260869565218</v>
      </c>
      <c r="H24" s="353">
        <v>12544.260869565218</v>
      </c>
      <c r="I24" s="52">
        <f t="shared" si="0"/>
        <v>0</v>
      </c>
      <c r="J24" s="52"/>
      <c r="K24" s="324">
        <f t="shared" si="10"/>
        <v>12544.260869565218</v>
      </c>
      <c r="L24" s="54">
        <f t="shared" si="7"/>
        <v>0</v>
      </c>
      <c r="M24" s="324">
        <f t="shared" si="11"/>
        <v>12544.260869565218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2018</v>
      </c>
      <c r="D25" s="351">
        <v>82079.095842350289</v>
      </c>
      <c r="E25" s="352">
        <v>2145.911111111111</v>
      </c>
      <c r="F25" s="351">
        <v>79933.184731239176</v>
      </c>
      <c r="G25" s="352">
        <v>11847.120662682713</v>
      </c>
      <c r="H25" s="353">
        <v>11847.120662682713</v>
      </c>
      <c r="I25" s="52">
        <f t="shared" si="0"/>
        <v>0</v>
      </c>
      <c r="J25" s="52"/>
      <c r="K25" s="324">
        <f t="shared" si="10"/>
        <v>11847.120662682713</v>
      </c>
      <c r="L25" s="54">
        <f t="shared" si="7"/>
        <v>0</v>
      </c>
      <c r="M25" s="324">
        <f t="shared" si="11"/>
        <v>11847.120662682713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2019</v>
      </c>
      <c r="D26" s="351">
        <v>79933.184731239176</v>
      </c>
      <c r="E26" s="352">
        <v>2414.15</v>
      </c>
      <c r="F26" s="351">
        <v>77519.034731239182</v>
      </c>
      <c r="G26" s="352">
        <v>11204.44220775155</v>
      </c>
      <c r="H26" s="353">
        <v>11204.44220775155</v>
      </c>
      <c r="I26" s="52">
        <f t="shared" si="0"/>
        <v>0</v>
      </c>
      <c r="J26" s="52"/>
      <c r="K26" s="324">
        <f t="shared" si="10"/>
        <v>11204.44220775155</v>
      </c>
      <c r="L26" s="54">
        <f t="shared" ref="L26" si="12">IF(K26&lt;&gt;0,+G26-K26,0)</f>
        <v>0</v>
      </c>
      <c r="M26" s="324">
        <f t="shared" si="11"/>
        <v>11204.44220775155</v>
      </c>
      <c r="N26" s="54">
        <f t="shared" ref="N26" si="13">IF(M26&lt;&gt;0,+H26-M26,0)</f>
        <v>0</v>
      </c>
      <c r="O26" s="54">
        <f t="shared" ref="O26" si="14">+N26-L26</f>
        <v>0</v>
      </c>
      <c r="P26" s="1"/>
    </row>
    <row r="27" spans="2:16" ht="12.5">
      <c r="B27" s="393" t="str">
        <f t="shared" si="6"/>
        <v>IU</v>
      </c>
      <c r="C27" s="50">
        <f>IF(D11="","-",+C26+1)</f>
        <v>2020</v>
      </c>
      <c r="D27" s="351">
        <v>77787.273620128064</v>
      </c>
      <c r="E27" s="352">
        <v>2299.1904761904761</v>
      </c>
      <c r="F27" s="351">
        <v>75488.083143937591</v>
      </c>
      <c r="G27" s="352">
        <v>10576.425832738674</v>
      </c>
      <c r="H27" s="353">
        <v>10576.425832738674</v>
      </c>
      <c r="I27" s="52">
        <f t="shared" si="0"/>
        <v>0</v>
      </c>
      <c r="J27" s="52"/>
      <c r="K27" s="324">
        <f t="shared" si="10"/>
        <v>10576.425832738674</v>
      </c>
      <c r="L27" s="54">
        <f t="shared" ref="L27" si="15">IF(K27&lt;&gt;0,+G27-K27,0)</f>
        <v>0</v>
      </c>
      <c r="M27" s="324">
        <f t="shared" si="11"/>
        <v>10576.425832738674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2021</v>
      </c>
      <c r="D28" s="351">
        <v>75219.844255048723</v>
      </c>
      <c r="E28" s="352">
        <v>2245.7209302325582</v>
      </c>
      <c r="F28" s="351">
        <v>72974.123324816159</v>
      </c>
      <c r="G28" s="352">
        <v>10113.720930232557</v>
      </c>
      <c r="H28" s="353">
        <v>10113.720930232557</v>
      </c>
      <c r="I28" s="52">
        <f t="shared" si="0"/>
        <v>0</v>
      </c>
      <c r="J28" s="52"/>
      <c r="K28" s="324">
        <f t="shared" si="10"/>
        <v>10113.720930232557</v>
      </c>
      <c r="L28" s="54">
        <f t="shared" ref="L28" si="16">IF(K28&lt;&gt;0,+G28-K28,0)</f>
        <v>0</v>
      </c>
      <c r="M28" s="324">
        <f t="shared" si="11"/>
        <v>10113.720930232557</v>
      </c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6"/>
        <v/>
      </c>
      <c r="C29" s="50">
        <f>IF(D11="","-",+C28+1)</f>
        <v>2022</v>
      </c>
      <c r="D29" s="351">
        <v>72974.123324816159</v>
      </c>
      <c r="E29" s="352">
        <v>2299.1904761904761</v>
      </c>
      <c r="F29" s="351">
        <v>70674.932848625685</v>
      </c>
      <c r="G29" s="352">
        <v>9919.1904761904771</v>
      </c>
      <c r="H29" s="353">
        <v>9919.1904761904771</v>
      </c>
      <c r="I29" s="52">
        <f t="shared" si="0"/>
        <v>0</v>
      </c>
      <c r="J29" s="52"/>
      <c r="K29" s="324">
        <f t="shared" ref="K29" si="17">G29</f>
        <v>9919.1904761904771</v>
      </c>
      <c r="L29" s="54">
        <f t="shared" ref="L29" si="18">IF(K29&lt;&gt;0,+G29-K29,0)</f>
        <v>0</v>
      </c>
      <c r="M29" s="324">
        <f t="shared" ref="M29" si="19">H29</f>
        <v>9919.1904761904771</v>
      </c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6"/>
        <v/>
      </c>
      <c r="C30" s="50">
        <f>IF(D11="","-",+C29+1)</f>
        <v>2023</v>
      </c>
      <c r="D30" s="351">
        <v>70674.932848625685</v>
      </c>
      <c r="E30" s="352">
        <v>2476.0512820512822</v>
      </c>
      <c r="F30" s="351">
        <v>68198.881566574404</v>
      </c>
      <c r="G30" s="352">
        <v>10616.051282051281</v>
      </c>
      <c r="H30" s="353">
        <v>10616.051282051281</v>
      </c>
      <c r="I30" s="52">
        <f t="shared" si="0"/>
        <v>0</v>
      </c>
      <c r="J30" s="52"/>
      <c r="K30" s="324">
        <f t="shared" ref="K30" si="20">G30</f>
        <v>10616.051282051281</v>
      </c>
      <c r="L30" s="54">
        <f t="shared" ref="L30" si="21">IF(K30&lt;&gt;0,+G30-K30,0)</f>
        <v>0</v>
      </c>
      <c r="M30" s="324">
        <f t="shared" ref="M30" si="22">H30</f>
        <v>10616.051282051281</v>
      </c>
      <c r="N30" s="54">
        <f t="shared" ref="N30" si="23">IF(M30&lt;&gt;0,+H30-M30,0)</f>
        <v>0</v>
      </c>
      <c r="O30" s="54">
        <f t="shared" ref="O30" si="24">+N30-L30</f>
        <v>0</v>
      </c>
      <c r="P30" s="1"/>
    </row>
    <row r="31" spans="2:16" ht="12.5">
      <c r="B31" s="7" t="str">
        <f t="shared" si="6"/>
        <v/>
      </c>
      <c r="C31" s="450">
        <f>IF(D11="","-",+C30+1)</f>
        <v>2024</v>
      </c>
      <c r="D31" s="351">
        <v>68198.881566574404</v>
      </c>
      <c r="E31" s="352">
        <v>2541.2105263157896</v>
      </c>
      <c r="F31" s="351">
        <v>65657.671040258618</v>
      </c>
      <c r="G31" s="352">
        <v>10009.21052631579</v>
      </c>
      <c r="H31" s="353">
        <v>10009.21052631579</v>
      </c>
      <c r="I31" s="52">
        <f t="shared" si="0"/>
        <v>0</v>
      </c>
      <c r="J31" s="52"/>
      <c r="K31" s="324">
        <f t="shared" ref="K31" si="25">G31</f>
        <v>10009.21052631579</v>
      </c>
      <c r="L31" s="54">
        <f t="shared" ref="L31" si="26">IF(K31&lt;&gt;0,+G31-K31,0)</f>
        <v>0</v>
      </c>
      <c r="M31" s="324">
        <f t="shared" ref="M31" si="27">H31</f>
        <v>10009.21052631579</v>
      </c>
      <c r="N31" s="54">
        <f t="shared" ref="N31" si="28">IF(M31&lt;&gt;0,+H31-M31,0)</f>
        <v>0</v>
      </c>
      <c r="O31" s="54">
        <f t="shared" ref="O31" si="29">+N31-L31</f>
        <v>0</v>
      </c>
      <c r="P31" s="1"/>
    </row>
    <row r="32" spans="2:16" ht="13">
      <c r="B32" s="7" t="str">
        <f t="shared" si="6"/>
        <v/>
      </c>
      <c r="C32" s="449">
        <f>IF(D11="","-",+C31+1)</f>
        <v>2025</v>
      </c>
      <c r="D32" s="351">
        <v>65657.671040258618</v>
      </c>
      <c r="E32" s="352">
        <v>2541.2105263157896</v>
      </c>
      <c r="F32" s="351">
        <v>63116.460513942831</v>
      </c>
      <c r="G32" s="352">
        <v>9711.21052631579</v>
      </c>
      <c r="H32" s="353">
        <v>9711.21052631579</v>
      </c>
      <c r="I32" s="52">
        <f t="shared" si="0"/>
        <v>0</v>
      </c>
      <c r="J32" s="52"/>
      <c r="K32" s="324">
        <f t="shared" ref="K32" si="30">G32</f>
        <v>9711.21052631579</v>
      </c>
      <c r="L32" s="54">
        <f t="shared" ref="L32" si="31">IF(K32&lt;&gt;0,+G32-K32,0)</f>
        <v>0</v>
      </c>
      <c r="M32" s="324">
        <f t="shared" ref="M32" si="32">H32</f>
        <v>9711.21052631579</v>
      </c>
      <c r="N32" s="54">
        <f t="shared" ref="N32" si="33">IF(M32&lt;&gt;0,+H32-M32,0)</f>
        <v>0</v>
      </c>
      <c r="O32" s="54">
        <f t="shared" ref="O32" si="34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63116.460513942831</v>
      </c>
      <c r="E33" s="354">
        <f>IF(+I14&lt;F32,I14,D33)</f>
        <v>2541.2105263157896</v>
      </c>
      <c r="F33" s="55">
        <f t="shared" ref="F33:F48" si="35">+D33-E33</f>
        <v>60575.249987627045</v>
      </c>
      <c r="G33" s="355">
        <f t="shared" ref="G33:G72" si="36">ROUND(I$12*F33,0)+E33</f>
        <v>9653.21052631579</v>
      </c>
      <c r="H33" s="337">
        <f t="shared" ref="H33:H72" si="37">ROUND(I$13*F33,0)+E33</f>
        <v>9653.21052631579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60575.249987627045</v>
      </c>
      <c r="E34" s="354">
        <f>IF(+I14&lt;F33,I14,D34)</f>
        <v>2541.2105263157896</v>
      </c>
      <c r="F34" s="55">
        <f t="shared" si="35"/>
        <v>58034.039461311258</v>
      </c>
      <c r="G34" s="355">
        <f t="shared" si="36"/>
        <v>9354.21052631579</v>
      </c>
      <c r="H34" s="337">
        <f t="shared" si="37"/>
        <v>9354.21052631579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58034.039461311258</v>
      </c>
      <c r="E35" s="354">
        <f>IF(+I14&lt;F34,I14,D35)</f>
        <v>2541.2105263157896</v>
      </c>
      <c r="F35" s="55">
        <f t="shared" si="35"/>
        <v>55492.828934995472</v>
      </c>
      <c r="G35" s="355">
        <f t="shared" si="36"/>
        <v>9056.21052631579</v>
      </c>
      <c r="H35" s="337">
        <f t="shared" si="37"/>
        <v>9056.21052631579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55492.828934995472</v>
      </c>
      <c r="E36" s="354">
        <f>IF(+I14&lt;F35,I14,D36)</f>
        <v>2541.2105263157896</v>
      </c>
      <c r="F36" s="55">
        <f t="shared" si="35"/>
        <v>52951.618408679686</v>
      </c>
      <c r="G36" s="355">
        <f t="shared" si="36"/>
        <v>8758.21052631579</v>
      </c>
      <c r="H36" s="337">
        <f t="shared" si="37"/>
        <v>8758.21052631579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52951.618408679686</v>
      </c>
      <c r="E37" s="354">
        <f>IF(+I14&lt;F36,I14,D37)</f>
        <v>2541.2105263157896</v>
      </c>
      <c r="F37" s="55">
        <f t="shared" si="35"/>
        <v>50410.407882363899</v>
      </c>
      <c r="G37" s="355">
        <f t="shared" si="36"/>
        <v>8459.21052631579</v>
      </c>
      <c r="H37" s="337">
        <f t="shared" si="37"/>
        <v>8459.21052631579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50410.407882363899</v>
      </c>
      <c r="E38" s="354">
        <f>IF(+I14&lt;F37,I14,D38)</f>
        <v>2541.2105263157896</v>
      </c>
      <c r="F38" s="55">
        <f t="shared" si="35"/>
        <v>47869.197356048113</v>
      </c>
      <c r="G38" s="355">
        <f t="shared" si="36"/>
        <v>8161.21052631579</v>
      </c>
      <c r="H38" s="337">
        <f t="shared" si="37"/>
        <v>8161.21052631579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47869.197356048113</v>
      </c>
      <c r="E39" s="354">
        <f>IF(+I14&lt;F38,I14,D39)</f>
        <v>2541.2105263157896</v>
      </c>
      <c r="F39" s="55">
        <f t="shared" si="35"/>
        <v>45327.986829732326</v>
      </c>
      <c r="G39" s="355">
        <f t="shared" si="36"/>
        <v>7863.21052631579</v>
      </c>
      <c r="H39" s="337">
        <f t="shared" si="37"/>
        <v>7863.21052631579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45327.986829732326</v>
      </c>
      <c r="E40" s="354">
        <f>IF(+I14&lt;F39,I14,D40)</f>
        <v>2541.2105263157896</v>
      </c>
      <c r="F40" s="55">
        <f t="shared" si="35"/>
        <v>42786.77630341654</v>
      </c>
      <c r="G40" s="355">
        <f t="shared" si="36"/>
        <v>7564.21052631579</v>
      </c>
      <c r="H40" s="337">
        <f t="shared" si="37"/>
        <v>7564.21052631579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42786.77630341654</v>
      </c>
      <c r="E41" s="354">
        <f>IF(+I14&lt;F40,I14,D41)</f>
        <v>2541.2105263157896</v>
      </c>
      <c r="F41" s="55">
        <f t="shared" si="35"/>
        <v>40245.565777100754</v>
      </c>
      <c r="G41" s="355">
        <f t="shared" si="36"/>
        <v>7266.21052631579</v>
      </c>
      <c r="H41" s="337">
        <f t="shared" si="37"/>
        <v>7266.21052631579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40245.565777100754</v>
      </c>
      <c r="E42" s="354">
        <f>IF(+I14&lt;F41,I14,D42)</f>
        <v>2541.2105263157896</v>
      </c>
      <c r="F42" s="55">
        <f t="shared" si="35"/>
        <v>37704.355250784967</v>
      </c>
      <c r="G42" s="355">
        <f t="shared" si="36"/>
        <v>6968.21052631579</v>
      </c>
      <c r="H42" s="337">
        <f t="shared" si="37"/>
        <v>6968.21052631579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37704.355250784967</v>
      </c>
      <c r="E43" s="354">
        <f>IF(+I14&lt;F42,I14,D43)</f>
        <v>2541.2105263157896</v>
      </c>
      <c r="F43" s="55">
        <f t="shared" si="35"/>
        <v>35163.144724469181</v>
      </c>
      <c r="G43" s="355">
        <f t="shared" si="36"/>
        <v>6669.21052631579</v>
      </c>
      <c r="H43" s="337">
        <f t="shared" si="37"/>
        <v>6669.21052631579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35163.144724469181</v>
      </c>
      <c r="E44" s="354">
        <f>IF(+I14&lt;F43,I14,D44)</f>
        <v>2541.2105263157896</v>
      </c>
      <c r="F44" s="55">
        <f t="shared" si="35"/>
        <v>32621.934198153391</v>
      </c>
      <c r="G44" s="355">
        <f t="shared" si="36"/>
        <v>6371.21052631579</v>
      </c>
      <c r="H44" s="337">
        <f t="shared" si="37"/>
        <v>6371.21052631579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32621.934198153391</v>
      </c>
      <c r="E45" s="354">
        <f>IF(+I14&lt;F44,I14,D45)</f>
        <v>2541.2105263157896</v>
      </c>
      <c r="F45" s="55">
        <f t="shared" si="35"/>
        <v>30080.723671837601</v>
      </c>
      <c r="G45" s="355">
        <f t="shared" si="36"/>
        <v>6073.21052631579</v>
      </c>
      <c r="H45" s="337">
        <f t="shared" si="37"/>
        <v>6073.21052631579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30080.723671837601</v>
      </c>
      <c r="E46" s="354">
        <f>IF(+I14&lt;F45,I14,D46)</f>
        <v>2541.2105263157896</v>
      </c>
      <c r="F46" s="55">
        <f t="shared" si="35"/>
        <v>27539.513145521811</v>
      </c>
      <c r="G46" s="355">
        <f t="shared" si="36"/>
        <v>5774.21052631579</v>
      </c>
      <c r="H46" s="337">
        <f t="shared" si="37"/>
        <v>5774.21052631579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27539.513145521811</v>
      </c>
      <c r="E47" s="354">
        <f>IF(+I14&lt;F46,I14,D47)</f>
        <v>2541.2105263157896</v>
      </c>
      <c r="F47" s="55">
        <f t="shared" si="35"/>
        <v>24998.302619206021</v>
      </c>
      <c r="G47" s="355">
        <f t="shared" si="36"/>
        <v>5476.21052631579</v>
      </c>
      <c r="H47" s="337">
        <f t="shared" si="37"/>
        <v>5476.21052631579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24998.302619206021</v>
      </c>
      <c r="E48" s="354">
        <f>IF(+I14&lt;F47,I14,D48)</f>
        <v>2541.2105263157896</v>
      </c>
      <c r="F48" s="55">
        <f t="shared" si="35"/>
        <v>22457.092092890231</v>
      </c>
      <c r="G48" s="355">
        <f t="shared" si="36"/>
        <v>5178.21052631579</v>
      </c>
      <c r="H48" s="337">
        <f t="shared" si="37"/>
        <v>5178.21052631579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22457.092092890231</v>
      </c>
      <c r="E49" s="354">
        <f>IF(+I14&lt;F48,I14,D49)</f>
        <v>2541.2105263157896</v>
      </c>
      <c r="F49" s="55">
        <f t="shared" ref="F49:F72" si="38">+D49-E49</f>
        <v>19915.881566574441</v>
      </c>
      <c r="G49" s="355">
        <f t="shared" si="36"/>
        <v>4879.21052631579</v>
      </c>
      <c r="H49" s="337">
        <f t="shared" si="37"/>
        <v>4879.21052631579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2043</v>
      </c>
      <c r="D50" s="55">
        <f>IF(F49+SUM(E$17:E49)=D$10,F49,D$10-SUM(E$17:E49))</f>
        <v>19915.881566574441</v>
      </c>
      <c r="E50" s="354">
        <f>IF(+I14&lt;F49,I14,D50)</f>
        <v>2541.2105263157896</v>
      </c>
      <c r="F50" s="55">
        <f t="shared" si="38"/>
        <v>17374.67104025865</v>
      </c>
      <c r="G50" s="355">
        <f t="shared" si="36"/>
        <v>4581.21052631579</v>
      </c>
      <c r="H50" s="337">
        <f t="shared" si="37"/>
        <v>4581.21052631579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6"/>
        <v/>
      </c>
      <c r="C51" s="50">
        <f>IF(D11="","-",+C50+1)</f>
        <v>2044</v>
      </c>
      <c r="D51" s="55">
        <f>IF(F50+SUM(E$17:E50)=D$10,F50,D$10-SUM(E$17:E50))</f>
        <v>17374.67104025865</v>
      </c>
      <c r="E51" s="354">
        <f>IF(+I14&lt;F50,I14,D51)</f>
        <v>2541.2105263157896</v>
      </c>
      <c r="F51" s="55">
        <f t="shared" si="38"/>
        <v>14833.46051394286</v>
      </c>
      <c r="G51" s="355">
        <f t="shared" si="36"/>
        <v>4282.21052631579</v>
      </c>
      <c r="H51" s="337">
        <f t="shared" si="37"/>
        <v>4282.21052631579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2045</v>
      </c>
      <c r="D52" s="55">
        <f>IF(F51+SUM(E$17:E51)=D$10,F51,D$10-SUM(E$17:E51))</f>
        <v>14833.46051394286</v>
      </c>
      <c r="E52" s="354">
        <f>IF(+I14&lt;F51,I14,D52)</f>
        <v>2541.2105263157896</v>
      </c>
      <c r="F52" s="55">
        <f t="shared" si="38"/>
        <v>12292.24998762707</v>
      </c>
      <c r="G52" s="355">
        <f t="shared" si="36"/>
        <v>3984.2105263157896</v>
      </c>
      <c r="H52" s="337">
        <f t="shared" si="37"/>
        <v>3984.2105263157896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6"/>
        <v/>
      </c>
      <c r="C53" s="50">
        <f>IF(D11="","-",+C52+1)</f>
        <v>2046</v>
      </c>
      <c r="D53" s="55">
        <f>IF(F52+SUM(E$17:E52)=D$10,F52,D$10-SUM(E$17:E52))</f>
        <v>12292.24998762707</v>
      </c>
      <c r="E53" s="354">
        <f>IF(+I14&lt;F52,I14,D53)</f>
        <v>2541.2105263157896</v>
      </c>
      <c r="F53" s="55">
        <f t="shared" si="38"/>
        <v>9751.0394613112803</v>
      </c>
      <c r="G53" s="355">
        <f t="shared" si="36"/>
        <v>3686.2105263157896</v>
      </c>
      <c r="H53" s="337">
        <f t="shared" si="37"/>
        <v>3686.2105263157896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6"/>
        <v/>
      </c>
      <c r="C54" s="50">
        <f>IF(D11="","-",+C53+1)</f>
        <v>2047</v>
      </c>
      <c r="D54" s="55">
        <f>IF(F53+SUM(E$17:E53)=D$10,F53,D$10-SUM(E$17:E53))</f>
        <v>9751.0394613112803</v>
      </c>
      <c r="E54" s="354">
        <f>IF(+I14&lt;F53,I14,D54)</f>
        <v>2541.2105263157896</v>
      </c>
      <c r="F54" s="55">
        <f t="shared" si="38"/>
        <v>7209.8289349954903</v>
      </c>
      <c r="G54" s="355">
        <f t="shared" si="36"/>
        <v>3387.2105263157896</v>
      </c>
      <c r="H54" s="337">
        <f t="shared" si="37"/>
        <v>3387.2105263157896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6"/>
        <v/>
      </c>
      <c r="C55" s="50">
        <f>IF(D11="","-",+C54+1)</f>
        <v>2048</v>
      </c>
      <c r="D55" s="55">
        <f>IF(F54+SUM(E$17:E54)=D$10,F54,D$10-SUM(E$17:E54))</f>
        <v>7209.8289349954903</v>
      </c>
      <c r="E55" s="354">
        <f>IF(+I14&lt;F54,I14,D55)</f>
        <v>2541.2105263157896</v>
      </c>
      <c r="F55" s="55">
        <f t="shared" si="38"/>
        <v>4668.6184086797002</v>
      </c>
      <c r="G55" s="355">
        <f t="shared" si="36"/>
        <v>3089.2105263157896</v>
      </c>
      <c r="H55" s="337">
        <f t="shared" si="37"/>
        <v>3089.2105263157896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6"/>
        <v/>
      </c>
      <c r="C56" s="50">
        <f>IF(D11="","-",+C55+1)</f>
        <v>2049</v>
      </c>
      <c r="D56" s="55">
        <f>IF(F55+SUM(E$17:E55)=D$10,F55,D$10-SUM(E$17:E55))</f>
        <v>4668.6184086797002</v>
      </c>
      <c r="E56" s="354">
        <f>IF(+I14&lt;F55,I14,D56)</f>
        <v>2541.2105263157896</v>
      </c>
      <c r="F56" s="55">
        <f t="shared" si="38"/>
        <v>2127.4078823639106</v>
      </c>
      <c r="G56" s="355">
        <f t="shared" si="36"/>
        <v>2791.2105263157896</v>
      </c>
      <c r="H56" s="337">
        <f t="shared" si="37"/>
        <v>2791.2105263157896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6"/>
        <v/>
      </c>
      <c r="C57" s="50">
        <f>IF(D11="","-",+C56+1)</f>
        <v>2050</v>
      </c>
      <c r="D57" s="55">
        <f>IF(F56+SUM(E$17:E56)=D$10,F56,D$10-SUM(E$17:E56))</f>
        <v>2127.4078823639106</v>
      </c>
      <c r="E57" s="354">
        <f>IF(+I14&lt;F56,I14,D57)</f>
        <v>2127.4078823639106</v>
      </c>
      <c r="F57" s="55">
        <f t="shared" si="38"/>
        <v>0</v>
      </c>
      <c r="G57" s="355">
        <f t="shared" si="36"/>
        <v>2127.4078823639106</v>
      </c>
      <c r="H57" s="337">
        <f t="shared" si="37"/>
        <v>2127.4078823639106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6"/>
        <v/>
      </c>
      <c r="C58" s="50">
        <f>IF(D11="","-",+C57+1)</f>
        <v>2051</v>
      </c>
      <c r="D58" s="55">
        <f>IF(F57+SUM(E$17:E57)=D$10,F57,D$10-SUM(E$17:E57))</f>
        <v>0</v>
      </c>
      <c r="E58" s="354">
        <f>IF(+I14&lt;F57,I14,D58)</f>
        <v>0</v>
      </c>
      <c r="F58" s="55">
        <f t="shared" si="38"/>
        <v>0</v>
      </c>
      <c r="G58" s="355">
        <f t="shared" si="36"/>
        <v>0</v>
      </c>
      <c r="H58" s="337">
        <f t="shared" si="37"/>
        <v>0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6"/>
        <v/>
      </c>
      <c r="C59" s="50">
        <f>IF(D11="","-",+C58+1)</f>
        <v>2052</v>
      </c>
      <c r="D59" s="55">
        <f>IF(F58+SUM(E$17:E58)=D$10,F58,D$10-SUM(E$17:E58))</f>
        <v>0</v>
      </c>
      <c r="E59" s="354">
        <f>IF(+I14&lt;F58,I14,D59)</f>
        <v>0</v>
      </c>
      <c r="F59" s="55">
        <f t="shared" si="38"/>
        <v>0</v>
      </c>
      <c r="G59" s="355">
        <f t="shared" si="36"/>
        <v>0</v>
      </c>
      <c r="H59" s="337">
        <f t="shared" si="37"/>
        <v>0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6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6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6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7" t="str">
        <f t="shared" si="6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6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2:16" ht="12.5">
      <c r="B65" s="393" t="str">
        <f t="shared" si="6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2:16" ht="12.5">
      <c r="B66" s="7" t="str">
        <f t="shared" si="6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2:16" ht="12.5">
      <c r="B67" s="7" t="str">
        <f t="shared" si="6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2:16" ht="12.5">
      <c r="B68" s="7" t="str">
        <f t="shared" si="6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2:16" ht="12.5">
      <c r="B69" s="7" t="str">
        <f t="shared" si="6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2:16" ht="12.5">
      <c r="B70" s="7" t="str">
        <f t="shared" si="6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2:16" ht="12.5">
      <c r="B71" s="7" t="str">
        <f t="shared" si="6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2:16" ht="12.5">
      <c r="C73" s="12" t="s">
        <v>77</v>
      </c>
      <c r="D73" s="267"/>
      <c r="E73" s="267">
        <f>SUM(E17:E72)</f>
        <v>96565.999999999956</v>
      </c>
      <c r="F73" s="267"/>
      <c r="G73" s="267">
        <f>SUM(G17:G72)</f>
        <v>354948.73711587128</v>
      </c>
      <c r="H73" s="267">
        <f>SUM(H17:H72)</f>
        <v>354948.73711587128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10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10009.21052631579</v>
      </c>
      <c r="N87" s="364">
        <f>IF(J92&lt;D11,0,VLOOKUP(J92,C17:O72,11))</f>
        <v>10009.21052631579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11492.939049199362</v>
      </c>
      <c r="N88" s="367">
        <f>IF(J92&lt;D11,0,VLOOKUP(J92,C99:P154,7))</f>
        <v>11492.939049199362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Wavetrap Clinton City-Foss Tap 69kV Ckt 1*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1483.7285228835717</v>
      </c>
      <c r="N89" s="369">
        <f>+N88-N87</f>
        <v>1483.7285228835717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TP2009011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96566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2610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2010</v>
      </c>
      <c r="D99" s="349">
        <v>0</v>
      </c>
      <c r="E99" s="352">
        <v>946.5</v>
      </c>
      <c r="F99" s="351">
        <v>95619.5</v>
      </c>
      <c r="G99" s="376">
        <v>47809.75</v>
      </c>
      <c r="H99" s="377">
        <v>8635.0355480484341</v>
      </c>
      <c r="I99" s="378">
        <v>8635.0355480484341</v>
      </c>
      <c r="J99" s="54">
        <f t="shared" ref="J99:J130" si="43">+I99-H99</f>
        <v>0</v>
      </c>
      <c r="K99" s="54"/>
      <c r="L99" s="394">
        <f t="shared" ref="L99:L104" si="44">H99</f>
        <v>8635.0355480484341</v>
      </c>
      <c r="M99" s="395">
        <f t="shared" ref="M99:M130" si="45">IF(L99&lt;&gt;0,+H99-L99,0)</f>
        <v>0</v>
      </c>
      <c r="N99" s="394">
        <f t="shared" ref="N99:N104" si="46">I99</f>
        <v>8635.0355480484341</v>
      </c>
      <c r="O99" s="53">
        <f t="shared" ref="O99:O130" si="47">IF(N99&lt;&gt;0,+I99-N99,0)</f>
        <v>0</v>
      </c>
      <c r="P99" s="53">
        <f t="shared" ref="P99:P130" si="48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349">
        <v>95619.5</v>
      </c>
      <c r="E100" s="352">
        <v>1857</v>
      </c>
      <c r="F100" s="351">
        <v>93762.5</v>
      </c>
      <c r="G100" s="351">
        <v>94691</v>
      </c>
      <c r="H100" s="352">
        <v>15096.07425133265</v>
      </c>
      <c r="I100" s="353">
        <v>15096.07425133265</v>
      </c>
      <c r="J100" s="54">
        <f t="shared" si="43"/>
        <v>0</v>
      </c>
      <c r="K100" s="54"/>
      <c r="L100" s="379">
        <f t="shared" si="44"/>
        <v>15096.07425133265</v>
      </c>
      <c r="M100" s="380">
        <f t="shared" si="45"/>
        <v>0</v>
      </c>
      <c r="N100" s="379">
        <f t="shared" si="46"/>
        <v>15096.07425133265</v>
      </c>
      <c r="O100" s="54">
        <f t="shared" si="47"/>
        <v>0</v>
      </c>
      <c r="P100" s="54">
        <f t="shared" si="48"/>
        <v>0</v>
      </c>
    </row>
    <row r="101" spans="1:16" ht="12.5">
      <c r="B101" s="7" t="str">
        <f t="shared" ref="B101:B154" si="49">IF(D101=F100,"","IU")</f>
        <v/>
      </c>
      <c r="C101" s="50">
        <f>IF(D93="","-",+C100+1)</f>
        <v>2012</v>
      </c>
      <c r="D101" s="349">
        <v>93762.5</v>
      </c>
      <c r="E101" s="352">
        <v>1857</v>
      </c>
      <c r="F101" s="351">
        <v>91905.5</v>
      </c>
      <c r="G101" s="351">
        <v>92834</v>
      </c>
      <c r="H101" s="352">
        <v>15211.679797187964</v>
      </c>
      <c r="I101" s="353">
        <v>15211.679797187964</v>
      </c>
      <c r="J101" s="54">
        <v>0</v>
      </c>
      <c r="K101" s="54"/>
      <c r="L101" s="379">
        <f t="shared" si="44"/>
        <v>15211.679797187964</v>
      </c>
      <c r="M101" s="380">
        <f t="shared" ref="M101:M106" si="50">IF(L101&lt;&gt;0,+H101-L101,0)</f>
        <v>0</v>
      </c>
      <c r="N101" s="379">
        <f t="shared" si="46"/>
        <v>15211.679797187964</v>
      </c>
      <c r="O101" s="54">
        <f t="shared" ref="O101:O106" si="51">IF(N101&lt;&gt;0,+I101-N101,0)</f>
        <v>0</v>
      </c>
      <c r="P101" s="54">
        <f t="shared" ref="P101:P106" si="52">+O101-M101</f>
        <v>0</v>
      </c>
    </row>
    <row r="102" spans="1:16" ht="12.5">
      <c r="B102" s="7" t="str">
        <f t="shared" si="49"/>
        <v/>
      </c>
      <c r="C102" s="50">
        <f>IF(D93="","-",+C101+1)</f>
        <v>2013</v>
      </c>
      <c r="D102" s="349">
        <v>91905.5</v>
      </c>
      <c r="E102" s="352">
        <v>1857</v>
      </c>
      <c r="F102" s="351">
        <v>90048.5</v>
      </c>
      <c r="G102" s="351">
        <v>90977</v>
      </c>
      <c r="H102" s="352">
        <v>14952.192437840908</v>
      </c>
      <c r="I102" s="353">
        <v>14952.192437840908</v>
      </c>
      <c r="J102" s="54">
        <v>0</v>
      </c>
      <c r="K102" s="54"/>
      <c r="L102" s="379">
        <f t="shared" si="44"/>
        <v>14952.192437840908</v>
      </c>
      <c r="M102" s="380">
        <f t="shared" si="50"/>
        <v>0</v>
      </c>
      <c r="N102" s="379">
        <f t="shared" si="46"/>
        <v>14952.192437840908</v>
      </c>
      <c r="O102" s="54">
        <f t="shared" si="51"/>
        <v>0</v>
      </c>
      <c r="P102" s="54">
        <f t="shared" si="52"/>
        <v>0</v>
      </c>
    </row>
    <row r="103" spans="1:16" ht="12.5">
      <c r="B103" s="7" t="str">
        <f t="shared" si="49"/>
        <v/>
      </c>
      <c r="C103" s="50">
        <f>IF(D93="","-",+C102+1)</f>
        <v>2014</v>
      </c>
      <c r="D103" s="349">
        <v>90048.5</v>
      </c>
      <c r="E103" s="352">
        <v>1857</v>
      </c>
      <c r="F103" s="351">
        <v>88191.5</v>
      </c>
      <c r="G103" s="351">
        <v>89120</v>
      </c>
      <c r="H103" s="352">
        <v>14386.907699066522</v>
      </c>
      <c r="I103" s="353">
        <v>14386.907699066522</v>
      </c>
      <c r="J103" s="54">
        <v>0</v>
      </c>
      <c r="K103" s="54"/>
      <c r="L103" s="379">
        <f t="shared" si="44"/>
        <v>14386.907699066522</v>
      </c>
      <c r="M103" s="380">
        <f t="shared" si="50"/>
        <v>0</v>
      </c>
      <c r="N103" s="379">
        <f t="shared" si="46"/>
        <v>14386.907699066522</v>
      </c>
      <c r="O103" s="54">
        <f t="shared" si="51"/>
        <v>0</v>
      </c>
      <c r="P103" s="54">
        <f t="shared" si="52"/>
        <v>0</v>
      </c>
    </row>
    <row r="104" spans="1:16" ht="12.5">
      <c r="B104" s="7" t="str">
        <f t="shared" si="49"/>
        <v/>
      </c>
      <c r="C104" s="50">
        <f>IF(D93="","-",+C103+1)</f>
        <v>2015</v>
      </c>
      <c r="D104" s="349">
        <v>88191.5</v>
      </c>
      <c r="E104" s="352">
        <v>1857</v>
      </c>
      <c r="F104" s="351">
        <v>86334.5</v>
      </c>
      <c r="G104" s="351">
        <v>87263</v>
      </c>
      <c r="H104" s="352">
        <v>13763.334720904193</v>
      </c>
      <c r="I104" s="353">
        <v>13763.334720904193</v>
      </c>
      <c r="J104" s="54">
        <f t="shared" si="43"/>
        <v>0</v>
      </c>
      <c r="K104" s="54"/>
      <c r="L104" s="379">
        <f t="shared" si="44"/>
        <v>13763.334720904193</v>
      </c>
      <c r="M104" s="380">
        <f t="shared" si="50"/>
        <v>0</v>
      </c>
      <c r="N104" s="379">
        <f t="shared" si="46"/>
        <v>13763.334720904193</v>
      </c>
      <c r="O104" s="54">
        <f t="shared" si="51"/>
        <v>0</v>
      </c>
      <c r="P104" s="54">
        <f t="shared" si="52"/>
        <v>0</v>
      </c>
    </row>
    <row r="105" spans="1:16" ht="12.5">
      <c r="B105" s="7" t="str">
        <f t="shared" si="49"/>
        <v/>
      </c>
      <c r="C105" s="50">
        <f>IF(D93="","-",+C104+1)</f>
        <v>2016</v>
      </c>
      <c r="D105" s="349">
        <v>86334.5</v>
      </c>
      <c r="E105" s="352">
        <v>2099</v>
      </c>
      <c r="F105" s="351">
        <v>84235.5</v>
      </c>
      <c r="G105" s="351">
        <v>85285</v>
      </c>
      <c r="H105" s="352">
        <v>13093.579642748955</v>
      </c>
      <c r="I105" s="353">
        <v>13093.579642748955</v>
      </c>
      <c r="J105" s="54">
        <f t="shared" si="43"/>
        <v>0</v>
      </c>
      <c r="K105" s="54"/>
      <c r="L105" s="379">
        <f t="shared" ref="L105:L110" si="53">H105</f>
        <v>13093.579642748955</v>
      </c>
      <c r="M105" s="380">
        <f t="shared" si="50"/>
        <v>0</v>
      </c>
      <c r="N105" s="379">
        <f t="shared" ref="N105:N110" si="54">I105</f>
        <v>13093.579642748955</v>
      </c>
      <c r="O105" s="54">
        <f t="shared" si="51"/>
        <v>0</v>
      </c>
      <c r="P105" s="54">
        <f t="shared" si="52"/>
        <v>0</v>
      </c>
    </row>
    <row r="106" spans="1:16" ht="12.5">
      <c r="B106" s="7" t="str">
        <f t="shared" si="49"/>
        <v/>
      </c>
      <c r="C106" s="50">
        <f>IF(D93="","-",+C105+1)</f>
        <v>2017</v>
      </c>
      <c r="D106" s="349">
        <v>84235.5</v>
      </c>
      <c r="E106" s="352">
        <v>2099</v>
      </c>
      <c r="F106" s="351">
        <v>82136.5</v>
      </c>
      <c r="G106" s="351">
        <v>83186</v>
      </c>
      <c r="H106" s="352">
        <v>12651.353853573521</v>
      </c>
      <c r="I106" s="353">
        <v>12651.353853573521</v>
      </c>
      <c r="J106" s="54">
        <f t="shared" si="43"/>
        <v>0</v>
      </c>
      <c r="K106" s="54"/>
      <c r="L106" s="379">
        <f t="shared" si="53"/>
        <v>12651.353853573521</v>
      </c>
      <c r="M106" s="380">
        <f t="shared" si="50"/>
        <v>0</v>
      </c>
      <c r="N106" s="379">
        <f t="shared" si="54"/>
        <v>12651.353853573521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9"/>
        <v/>
      </c>
      <c r="C107" s="50">
        <f>IF(D93="","-",+C106+1)</f>
        <v>2018</v>
      </c>
      <c r="D107" s="349">
        <v>82136.5</v>
      </c>
      <c r="E107" s="352">
        <v>2246</v>
      </c>
      <c r="F107" s="351">
        <v>79890.5</v>
      </c>
      <c r="G107" s="351">
        <v>81013.5</v>
      </c>
      <c r="H107" s="352">
        <v>10568.967843132519</v>
      </c>
      <c r="I107" s="353">
        <v>10568.967843132519</v>
      </c>
      <c r="J107" s="54">
        <f t="shared" si="43"/>
        <v>0</v>
      </c>
      <c r="K107" s="54"/>
      <c r="L107" s="379">
        <f t="shared" si="53"/>
        <v>10568.967843132519</v>
      </c>
      <c r="M107" s="380">
        <f t="shared" ref="M107" si="55">IF(L107&lt;&gt;0,+H107-L107,0)</f>
        <v>0</v>
      </c>
      <c r="N107" s="379">
        <f t="shared" si="54"/>
        <v>10568.967843132519</v>
      </c>
      <c r="O107" s="54">
        <f t="shared" ref="O107" si="56">IF(N107&lt;&gt;0,+I107-N107,0)</f>
        <v>0</v>
      </c>
      <c r="P107" s="54">
        <f t="shared" ref="P107" si="57">+O107-M107</f>
        <v>0</v>
      </c>
    </row>
    <row r="108" spans="1:16" ht="12.5">
      <c r="B108" s="7" t="str">
        <f t="shared" si="49"/>
        <v/>
      </c>
      <c r="C108" s="50">
        <f>IF(D93="","-",+C107+1)</f>
        <v>2019</v>
      </c>
      <c r="D108" s="349">
        <v>79890.5</v>
      </c>
      <c r="E108" s="352">
        <v>2355</v>
      </c>
      <c r="F108" s="351">
        <v>77535.5</v>
      </c>
      <c r="G108" s="351">
        <v>78713</v>
      </c>
      <c r="H108" s="352">
        <v>10471.414334884656</v>
      </c>
      <c r="I108" s="353">
        <v>10471.414334884656</v>
      </c>
      <c r="J108" s="54">
        <f t="shared" si="43"/>
        <v>0</v>
      </c>
      <c r="K108" s="54"/>
      <c r="L108" s="379">
        <f t="shared" si="53"/>
        <v>10471.414334884656</v>
      </c>
      <c r="M108" s="380">
        <f t="shared" ref="M108:M109" si="58">IF(L108&lt;&gt;0,+H108-L108,0)</f>
        <v>0</v>
      </c>
      <c r="N108" s="379">
        <f t="shared" si="54"/>
        <v>10471.414334884656</v>
      </c>
      <c r="O108" s="54">
        <f t="shared" si="47"/>
        <v>0</v>
      </c>
      <c r="P108" s="54">
        <f t="shared" si="48"/>
        <v>0</v>
      </c>
    </row>
    <row r="109" spans="1:16" ht="12.5">
      <c r="B109" s="7" t="str">
        <f t="shared" si="49"/>
        <v/>
      </c>
      <c r="C109" s="50">
        <f>IF(D93="","-",+C108+1)</f>
        <v>2020</v>
      </c>
      <c r="D109" s="349">
        <v>77535.5</v>
      </c>
      <c r="E109" s="352">
        <v>2246</v>
      </c>
      <c r="F109" s="351">
        <v>75289.5</v>
      </c>
      <c r="G109" s="351">
        <v>76412.5</v>
      </c>
      <c r="H109" s="352">
        <v>11056.151171153304</v>
      </c>
      <c r="I109" s="353">
        <v>11056.151171153304</v>
      </c>
      <c r="J109" s="54">
        <f t="shared" si="43"/>
        <v>0</v>
      </c>
      <c r="K109" s="54"/>
      <c r="L109" s="379">
        <f t="shared" si="53"/>
        <v>11056.151171153304</v>
      </c>
      <c r="M109" s="380">
        <f t="shared" si="58"/>
        <v>0</v>
      </c>
      <c r="N109" s="379">
        <f t="shared" si="54"/>
        <v>11056.151171153304</v>
      </c>
      <c r="O109" s="54">
        <f t="shared" si="47"/>
        <v>0</v>
      </c>
      <c r="P109" s="54">
        <f t="shared" si="48"/>
        <v>0</v>
      </c>
    </row>
    <row r="110" spans="1:16" ht="12.5">
      <c r="B110" s="7" t="str">
        <f t="shared" si="49"/>
        <v/>
      </c>
      <c r="C110" s="50">
        <f>IF(D93="","-",+C109+1)</f>
        <v>2021</v>
      </c>
      <c r="D110" s="349">
        <v>75289.5</v>
      </c>
      <c r="E110" s="352">
        <v>2355</v>
      </c>
      <c r="F110" s="351">
        <v>72934.5</v>
      </c>
      <c r="G110" s="351">
        <v>74112</v>
      </c>
      <c r="H110" s="352">
        <v>10788.411477147845</v>
      </c>
      <c r="I110" s="353">
        <v>10788.411477147845</v>
      </c>
      <c r="J110" s="54">
        <f t="shared" si="43"/>
        <v>0</v>
      </c>
      <c r="K110" s="54"/>
      <c r="L110" s="379">
        <f t="shared" si="53"/>
        <v>10788.411477147845</v>
      </c>
      <c r="M110" s="380">
        <f t="shared" ref="M110" si="59">IF(L110&lt;&gt;0,+H110-L110,0)</f>
        <v>0</v>
      </c>
      <c r="N110" s="379">
        <f t="shared" si="54"/>
        <v>10788.411477147845</v>
      </c>
      <c r="O110" s="54">
        <f t="shared" ref="O110" si="60">IF(N110&lt;&gt;0,+I110-N110,0)</f>
        <v>0</v>
      </c>
      <c r="P110" s="54">
        <f t="shared" si="48"/>
        <v>0</v>
      </c>
    </row>
    <row r="111" spans="1:16" ht="12.5">
      <c r="B111" s="7" t="str">
        <f t="shared" si="49"/>
        <v/>
      </c>
      <c r="C111" s="450">
        <f>IF(D93="","-",+C110+1)</f>
        <v>2022</v>
      </c>
      <c r="D111" s="349">
        <v>72934.5</v>
      </c>
      <c r="E111" s="352">
        <v>2476</v>
      </c>
      <c r="F111" s="351">
        <v>70458.5</v>
      </c>
      <c r="G111" s="351">
        <v>71696.5</v>
      </c>
      <c r="H111" s="352">
        <v>10375.710571899024</v>
      </c>
      <c r="I111" s="353">
        <v>10375.710571899024</v>
      </c>
      <c r="J111" s="54">
        <f t="shared" si="43"/>
        <v>0</v>
      </c>
      <c r="K111" s="54"/>
      <c r="L111" s="379">
        <f t="shared" ref="L111:L112" si="61">H111</f>
        <v>10375.710571899024</v>
      </c>
      <c r="M111" s="380">
        <f t="shared" ref="M111:M112" si="62">IF(L111&lt;&gt;0,+H111-L111,0)</f>
        <v>0</v>
      </c>
      <c r="N111" s="379">
        <f t="shared" ref="N111:N112" si="63">I111</f>
        <v>10375.710571899024</v>
      </c>
      <c r="O111" s="54">
        <f t="shared" ref="O111:O112" si="64">IF(N111&lt;&gt;0,+I111-N111,0)</f>
        <v>0</v>
      </c>
      <c r="P111" s="54">
        <f t="shared" ref="P111:P112" si="65">+O111-M111</f>
        <v>0</v>
      </c>
    </row>
    <row r="112" spans="1:16" ht="12.5">
      <c r="B112" s="7" t="str">
        <f t="shared" si="49"/>
        <v/>
      </c>
      <c r="C112" s="50">
        <f>IF(D93="","-",+C111+1)</f>
        <v>2023</v>
      </c>
      <c r="D112" s="349">
        <v>70458.5</v>
      </c>
      <c r="E112" s="352">
        <v>2541</v>
      </c>
      <c r="F112" s="351">
        <v>67917.5</v>
      </c>
      <c r="G112" s="351">
        <v>69188</v>
      </c>
      <c r="H112" s="352">
        <v>10444.141346801007</v>
      </c>
      <c r="I112" s="353">
        <v>10444.141346801007</v>
      </c>
      <c r="J112" s="54">
        <f t="shared" si="43"/>
        <v>0</v>
      </c>
      <c r="K112" s="54"/>
      <c r="L112" s="379">
        <f t="shared" si="61"/>
        <v>10444.141346801007</v>
      </c>
      <c r="M112" s="380">
        <f t="shared" si="62"/>
        <v>0</v>
      </c>
      <c r="N112" s="379">
        <f t="shared" si="63"/>
        <v>10444.141346801007</v>
      </c>
      <c r="O112" s="54">
        <f t="shared" si="64"/>
        <v>0</v>
      </c>
      <c r="P112" s="54">
        <f t="shared" si="65"/>
        <v>0</v>
      </c>
    </row>
    <row r="113" spans="2:16" ht="12.5">
      <c r="B113" s="7" t="str">
        <f t="shared" si="49"/>
        <v/>
      </c>
      <c r="C113" s="50">
        <f>IF(D93="","-",+C112+1)</f>
        <v>2024</v>
      </c>
      <c r="D113" s="349">
        <v>67917.5</v>
      </c>
      <c r="E113" s="352">
        <v>2541</v>
      </c>
      <c r="F113" s="351">
        <v>65376.5</v>
      </c>
      <c r="G113" s="351">
        <v>66647</v>
      </c>
      <c r="H113" s="352">
        <v>11492.939049199362</v>
      </c>
      <c r="I113" s="353">
        <v>11492.939049199362</v>
      </c>
      <c r="J113" s="54">
        <f t="shared" si="43"/>
        <v>0</v>
      </c>
      <c r="K113" s="54"/>
      <c r="L113" s="379">
        <f t="shared" ref="L113" si="66">H113</f>
        <v>11492.939049199362</v>
      </c>
      <c r="M113" s="380">
        <f t="shared" ref="M113" si="67">IF(L113&lt;&gt;0,+H113-L113,0)</f>
        <v>0</v>
      </c>
      <c r="N113" s="379">
        <f t="shared" ref="N113" si="68">I113</f>
        <v>11492.939049199362</v>
      </c>
      <c r="O113" s="54">
        <f t="shared" ref="O113" si="69">IF(N113&lt;&gt;0,+I113-N113,0)</f>
        <v>0</v>
      </c>
      <c r="P113" s="54">
        <f t="shared" ref="P113" si="70">+O113-M113</f>
        <v>0</v>
      </c>
    </row>
    <row r="114" spans="2:16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65376.5</v>
      </c>
      <c r="E114" s="355">
        <f>IF(+J96&lt;F113,J96,D114)</f>
        <v>2610</v>
      </c>
      <c r="F114" s="55">
        <f t="shared" ref="F114:F129" si="71">+D114-E114</f>
        <v>62766.5</v>
      </c>
      <c r="G114" s="55">
        <f t="shared" ref="G114:G129" si="72">+(F114+D114)/2</f>
        <v>64071.5</v>
      </c>
      <c r="H114" s="356">
        <f t="shared" ref="H114:H130" si="73">+J$94*G114+E114</f>
        <v>11216.001212219258</v>
      </c>
      <c r="I114" s="381">
        <f t="shared" ref="I114:I130" si="74">+J$95*G114+E114</f>
        <v>11216.001212219258</v>
      </c>
      <c r="J114" s="54">
        <f t="shared" si="43"/>
        <v>0</v>
      </c>
      <c r="K114" s="54"/>
      <c r="L114" s="115"/>
      <c r="M114" s="54">
        <f t="shared" si="45"/>
        <v>0</v>
      </c>
      <c r="N114" s="115"/>
      <c r="O114" s="54">
        <f t="shared" si="47"/>
        <v>0</v>
      </c>
      <c r="P114" s="54">
        <f t="shared" si="48"/>
        <v>0</v>
      </c>
    </row>
    <row r="115" spans="2:16" ht="12.5">
      <c r="B115" s="7" t="str">
        <f t="shared" si="49"/>
        <v/>
      </c>
      <c r="C115" s="50">
        <f>IF(D93="","-",+C114+1)</f>
        <v>2026</v>
      </c>
      <c r="D115" s="12">
        <f>IF(F114+SUM(E$99:E114)=D$92,F114,D$92-SUM(E$99:E114))</f>
        <v>62766.5</v>
      </c>
      <c r="E115" s="355">
        <f>IF(+J96&lt;F114,J96,D115)</f>
        <v>2610</v>
      </c>
      <c r="F115" s="55">
        <f t="shared" si="71"/>
        <v>60156.5</v>
      </c>
      <c r="G115" s="55">
        <f t="shared" si="72"/>
        <v>61461.5</v>
      </c>
      <c r="H115" s="356">
        <f t="shared" si="73"/>
        <v>10865.429379752524</v>
      </c>
      <c r="I115" s="381">
        <f t="shared" si="74"/>
        <v>10865.429379752524</v>
      </c>
      <c r="J115" s="54">
        <f t="shared" si="43"/>
        <v>0</v>
      </c>
      <c r="K115" s="54"/>
      <c r="L115" s="115"/>
      <c r="M115" s="54">
        <f t="shared" si="45"/>
        <v>0</v>
      </c>
      <c r="N115" s="115"/>
      <c r="O115" s="54">
        <f t="shared" si="47"/>
        <v>0</v>
      </c>
      <c r="P115" s="54">
        <f t="shared" si="48"/>
        <v>0</v>
      </c>
    </row>
    <row r="116" spans="2:16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60156.5</v>
      </c>
      <c r="E116" s="355">
        <f>IF(+J96&lt;F115,J96,D116)</f>
        <v>2610</v>
      </c>
      <c r="F116" s="55">
        <f t="shared" si="71"/>
        <v>57546.5</v>
      </c>
      <c r="G116" s="55">
        <f t="shared" si="72"/>
        <v>58851.5</v>
      </c>
      <c r="H116" s="356">
        <f t="shared" si="73"/>
        <v>10514.857547285792</v>
      </c>
      <c r="I116" s="381">
        <f t="shared" si="74"/>
        <v>10514.857547285792</v>
      </c>
      <c r="J116" s="54">
        <f t="shared" si="43"/>
        <v>0</v>
      </c>
      <c r="K116" s="54"/>
      <c r="L116" s="115"/>
      <c r="M116" s="54">
        <f t="shared" si="45"/>
        <v>0</v>
      </c>
      <c r="N116" s="115"/>
      <c r="O116" s="54">
        <f t="shared" si="47"/>
        <v>0</v>
      </c>
      <c r="P116" s="54">
        <f t="shared" si="48"/>
        <v>0</v>
      </c>
    </row>
    <row r="117" spans="2:16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57546.5</v>
      </c>
      <c r="E117" s="355">
        <f>IF(+J96&lt;F116,J96,D117)</f>
        <v>2610</v>
      </c>
      <c r="F117" s="55">
        <f t="shared" si="71"/>
        <v>54936.5</v>
      </c>
      <c r="G117" s="55">
        <f t="shared" si="72"/>
        <v>56241.5</v>
      </c>
      <c r="H117" s="356">
        <f t="shared" si="73"/>
        <v>10164.28571481906</v>
      </c>
      <c r="I117" s="381">
        <f t="shared" si="74"/>
        <v>10164.28571481906</v>
      </c>
      <c r="J117" s="54">
        <f t="shared" si="43"/>
        <v>0</v>
      </c>
      <c r="K117" s="54"/>
      <c r="L117" s="115"/>
      <c r="M117" s="54">
        <f t="shared" si="45"/>
        <v>0</v>
      </c>
      <c r="N117" s="115"/>
      <c r="O117" s="54">
        <f t="shared" si="47"/>
        <v>0</v>
      </c>
      <c r="P117" s="54">
        <f t="shared" si="48"/>
        <v>0</v>
      </c>
    </row>
    <row r="118" spans="2:16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54936.5</v>
      </c>
      <c r="E118" s="355">
        <f>IF(+J96&lt;F117,J96,D118)</f>
        <v>2610</v>
      </c>
      <c r="F118" s="55">
        <f t="shared" si="71"/>
        <v>52326.5</v>
      </c>
      <c r="G118" s="55">
        <f t="shared" si="72"/>
        <v>53631.5</v>
      </c>
      <c r="H118" s="356">
        <f t="shared" si="73"/>
        <v>9813.7138823523273</v>
      </c>
      <c r="I118" s="381">
        <f t="shared" si="74"/>
        <v>9813.7138823523273</v>
      </c>
      <c r="J118" s="54">
        <f t="shared" si="43"/>
        <v>0</v>
      </c>
      <c r="K118" s="54"/>
      <c r="L118" s="115"/>
      <c r="M118" s="54">
        <f t="shared" si="45"/>
        <v>0</v>
      </c>
      <c r="N118" s="115"/>
      <c r="O118" s="54">
        <f t="shared" si="47"/>
        <v>0</v>
      </c>
      <c r="P118" s="54">
        <f t="shared" si="48"/>
        <v>0</v>
      </c>
    </row>
    <row r="119" spans="2:16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52326.5</v>
      </c>
      <c r="E119" s="355">
        <f>IF(+J96&lt;F118,J96,D119)</f>
        <v>2610</v>
      </c>
      <c r="F119" s="55">
        <f t="shared" si="71"/>
        <v>49716.5</v>
      </c>
      <c r="G119" s="55">
        <f t="shared" si="72"/>
        <v>51021.5</v>
      </c>
      <c r="H119" s="356">
        <f t="shared" si="73"/>
        <v>9463.142049885595</v>
      </c>
      <c r="I119" s="381">
        <f t="shared" si="74"/>
        <v>9463.142049885595</v>
      </c>
      <c r="J119" s="54">
        <f t="shared" si="43"/>
        <v>0</v>
      </c>
      <c r="K119" s="54"/>
      <c r="L119" s="115"/>
      <c r="M119" s="54">
        <f t="shared" si="45"/>
        <v>0</v>
      </c>
      <c r="N119" s="115"/>
      <c r="O119" s="54">
        <f t="shared" si="47"/>
        <v>0</v>
      </c>
      <c r="P119" s="54">
        <f t="shared" si="48"/>
        <v>0</v>
      </c>
    </row>
    <row r="120" spans="2:16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49716.5</v>
      </c>
      <c r="E120" s="355">
        <f>IF(+J96&lt;F119,J96,D120)</f>
        <v>2610</v>
      </c>
      <c r="F120" s="55">
        <f t="shared" si="71"/>
        <v>47106.5</v>
      </c>
      <c r="G120" s="55">
        <f t="shared" si="72"/>
        <v>48411.5</v>
      </c>
      <c r="H120" s="356">
        <f t="shared" si="73"/>
        <v>9112.5702174188627</v>
      </c>
      <c r="I120" s="381">
        <f t="shared" si="74"/>
        <v>9112.5702174188627</v>
      </c>
      <c r="J120" s="54">
        <f t="shared" si="43"/>
        <v>0</v>
      </c>
      <c r="K120" s="54"/>
      <c r="L120" s="115"/>
      <c r="M120" s="54">
        <f t="shared" si="45"/>
        <v>0</v>
      </c>
      <c r="N120" s="115"/>
      <c r="O120" s="54">
        <f t="shared" si="47"/>
        <v>0</v>
      </c>
      <c r="P120" s="54">
        <f t="shared" si="48"/>
        <v>0</v>
      </c>
    </row>
    <row r="121" spans="2:16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47106.5</v>
      </c>
      <c r="E121" s="355">
        <f>IF(+J96&lt;F120,J96,D121)</f>
        <v>2610</v>
      </c>
      <c r="F121" s="55">
        <f t="shared" si="71"/>
        <v>44496.5</v>
      </c>
      <c r="G121" s="55">
        <f t="shared" si="72"/>
        <v>45801.5</v>
      </c>
      <c r="H121" s="356">
        <f t="shared" si="73"/>
        <v>8761.9983849521286</v>
      </c>
      <c r="I121" s="381">
        <f t="shared" si="74"/>
        <v>8761.9983849521286</v>
      </c>
      <c r="J121" s="54">
        <f t="shared" si="43"/>
        <v>0</v>
      </c>
      <c r="K121" s="54"/>
      <c r="L121" s="115"/>
      <c r="M121" s="54">
        <f t="shared" si="45"/>
        <v>0</v>
      </c>
      <c r="N121" s="115"/>
      <c r="O121" s="54">
        <f t="shared" si="47"/>
        <v>0</v>
      </c>
      <c r="P121" s="54">
        <f t="shared" si="48"/>
        <v>0</v>
      </c>
    </row>
    <row r="122" spans="2:16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44496.5</v>
      </c>
      <c r="E122" s="355">
        <f>IF(+J96&lt;F121,J96,D122)</f>
        <v>2610</v>
      </c>
      <c r="F122" s="55">
        <f t="shared" si="71"/>
        <v>41886.5</v>
      </c>
      <c r="G122" s="55">
        <f t="shared" si="72"/>
        <v>43191.5</v>
      </c>
      <c r="H122" s="356">
        <f t="shared" si="73"/>
        <v>8411.4265524853963</v>
      </c>
      <c r="I122" s="381">
        <f t="shared" si="74"/>
        <v>8411.4265524853963</v>
      </c>
      <c r="J122" s="54">
        <f t="shared" si="43"/>
        <v>0</v>
      </c>
      <c r="K122" s="54"/>
      <c r="L122" s="115"/>
      <c r="M122" s="54">
        <f t="shared" si="45"/>
        <v>0</v>
      </c>
      <c r="N122" s="115"/>
      <c r="O122" s="54">
        <f t="shared" si="47"/>
        <v>0</v>
      </c>
      <c r="P122" s="54">
        <f t="shared" si="48"/>
        <v>0</v>
      </c>
    </row>
    <row r="123" spans="2:16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41886.5</v>
      </c>
      <c r="E123" s="355">
        <f>IF(+J96&lt;F122,J96,D123)</f>
        <v>2610</v>
      </c>
      <c r="F123" s="55">
        <f t="shared" si="71"/>
        <v>39276.5</v>
      </c>
      <c r="G123" s="55">
        <f t="shared" si="72"/>
        <v>40581.5</v>
      </c>
      <c r="H123" s="356">
        <f t="shared" si="73"/>
        <v>8060.854720018664</v>
      </c>
      <c r="I123" s="381">
        <f t="shared" si="74"/>
        <v>8060.854720018664</v>
      </c>
      <c r="J123" s="54">
        <f t="shared" si="43"/>
        <v>0</v>
      </c>
      <c r="K123" s="54"/>
      <c r="L123" s="115"/>
      <c r="M123" s="54">
        <f t="shared" si="45"/>
        <v>0</v>
      </c>
      <c r="N123" s="115"/>
      <c r="O123" s="54">
        <f t="shared" si="47"/>
        <v>0</v>
      </c>
      <c r="P123" s="54">
        <f t="shared" si="48"/>
        <v>0</v>
      </c>
    </row>
    <row r="124" spans="2:16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39276.5</v>
      </c>
      <c r="E124" s="355">
        <f>IF(+J96&lt;F123,J96,D124)</f>
        <v>2610</v>
      </c>
      <c r="F124" s="55">
        <f t="shared" si="71"/>
        <v>36666.5</v>
      </c>
      <c r="G124" s="55">
        <f t="shared" si="72"/>
        <v>37971.5</v>
      </c>
      <c r="H124" s="356">
        <f t="shared" si="73"/>
        <v>7710.2828875519308</v>
      </c>
      <c r="I124" s="381">
        <f t="shared" si="74"/>
        <v>7710.2828875519308</v>
      </c>
      <c r="J124" s="54">
        <f t="shared" si="43"/>
        <v>0</v>
      </c>
      <c r="K124" s="54"/>
      <c r="L124" s="115"/>
      <c r="M124" s="54">
        <f t="shared" si="45"/>
        <v>0</v>
      </c>
      <c r="N124" s="115"/>
      <c r="O124" s="54">
        <f t="shared" si="47"/>
        <v>0</v>
      </c>
      <c r="P124" s="54">
        <f t="shared" si="48"/>
        <v>0</v>
      </c>
    </row>
    <row r="125" spans="2:16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36666.5</v>
      </c>
      <c r="E125" s="355">
        <f>IF(+J96&lt;F124,J96,D125)</f>
        <v>2610</v>
      </c>
      <c r="F125" s="55">
        <f t="shared" si="71"/>
        <v>34056.5</v>
      </c>
      <c r="G125" s="55">
        <f t="shared" si="72"/>
        <v>35361.5</v>
      </c>
      <c r="H125" s="356">
        <f t="shared" si="73"/>
        <v>7359.7110550851985</v>
      </c>
      <c r="I125" s="381">
        <f t="shared" si="74"/>
        <v>7359.7110550851985</v>
      </c>
      <c r="J125" s="54">
        <f t="shared" si="43"/>
        <v>0</v>
      </c>
      <c r="K125" s="54"/>
      <c r="L125" s="115"/>
      <c r="M125" s="54">
        <f t="shared" si="45"/>
        <v>0</v>
      </c>
      <c r="N125" s="115"/>
      <c r="O125" s="54">
        <f t="shared" si="47"/>
        <v>0</v>
      </c>
      <c r="P125" s="54">
        <f t="shared" si="48"/>
        <v>0</v>
      </c>
    </row>
    <row r="126" spans="2:16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34056.5</v>
      </c>
      <c r="E126" s="355">
        <f>IF(+J96&lt;F125,J96,D126)</f>
        <v>2610</v>
      </c>
      <c r="F126" s="55">
        <f t="shared" si="71"/>
        <v>31446.5</v>
      </c>
      <c r="G126" s="55">
        <f t="shared" si="72"/>
        <v>32751.5</v>
      </c>
      <c r="H126" s="356">
        <f t="shared" si="73"/>
        <v>7009.1392226184653</v>
      </c>
      <c r="I126" s="381">
        <f t="shared" si="74"/>
        <v>7009.1392226184653</v>
      </c>
      <c r="J126" s="54">
        <f t="shared" si="43"/>
        <v>0</v>
      </c>
      <c r="K126" s="54"/>
      <c r="L126" s="115"/>
      <c r="M126" s="54">
        <f t="shared" si="45"/>
        <v>0</v>
      </c>
      <c r="N126" s="115"/>
      <c r="O126" s="54">
        <f t="shared" si="47"/>
        <v>0</v>
      </c>
      <c r="P126" s="54">
        <f t="shared" si="48"/>
        <v>0</v>
      </c>
    </row>
    <row r="127" spans="2:16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31446.5</v>
      </c>
      <c r="E127" s="355">
        <f>IF(+J96&lt;F126,J96,D127)</f>
        <v>2610</v>
      </c>
      <c r="F127" s="55">
        <f t="shared" si="71"/>
        <v>28836.5</v>
      </c>
      <c r="G127" s="55">
        <f t="shared" si="72"/>
        <v>30141.5</v>
      </c>
      <c r="H127" s="356">
        <f t="shared" si="73"/>
        <v>6658.567390151733</v>
      </c>
      <c r="I127" s="381">
        <f t="shared" si="74"/>
        <v>6658.567390151733</v>
      </c>
      <c r="J127" s="54">
        <f t="shared" si="43"/>
        <v>0</v>
      </c>
      <c r="K127" s="54"/>
      <c r="L127" s="115"/>
      <c r="M127" s="54">
        <f t="shared" si="45"/>
        <v>0</v>
      </c>
      <c r="N127" s="115"/>
      <c r="O127" s="54">
        <f t="shared" si="47"/>
        <v>0</v>
      </c>
      <c r="P127" s="54">
        <f t="shared" si="48"/>
        <v>0</v>
      </c>
    </row>
    <row r="128" spans="2:16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28836.5</v>
      </c>
      <c r="E128" s="355">
        <f>IF(+J96&lt;F127,J96,D128)</f>
        <v>2610</v>
      </c>
      <c r="F128" s="55">
        <f t="shared" si="71"/>
        <v>26226.5</v>
      </c>
      <c r="G128" s="55">
        <f t="shared" si="72"/>
        <v>27531.5</v>
      </c>
      <c r="H128" s="356">
        <f t="shared" si="73"/>
        <v>6307.9955576850007</v>
      </c>
      <c r="I128" s="381">
        <f t="shared" si="74"/>
        <v>6307.9955576850007</v>
      </c>
      <c r="J128" s="54">
        <f t="shared" si="43"/>
        <v>0</v>
      </c>
      <c r="K128" s="54"/>
      <c r="L128" s="115"/>
      <c r="M128" s="54">
        <f t="shared" si="45"/>
        <v>0</v>
      </c>
      <c r="N128" s="115"/>
      <c r="O128" s="54">
        <f t="shared" si="47"/>
        <v>0</v>
      </c>
      <c r="P128" s="54">
        <f t="shared" si="48"/>
        <v>0</v>
      </c>
    </row>
    <row r="129" spans="2:16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26226.5</v>
      </c>
      <c r="E129" s="355">
        <f>IF(+J96&lt;F128,J96,D129)</f>
        <v>2610</v>
      </c>
      <c r="F129" s="55">
        <f t="shared" si="71"/>
        <v>23616.5</v>
      </c>
      <c r="G129" s="55">
        <f t="shared" si="72"/>
        <v>24921.5</v>
      </c>
      <c r="H129" s="356">
        <f t="shared" si="73"/>
        <v>5957.4237252182675</v>
      </c>
      <c r="I129" s="381">
        <f t="shared" si="74"/>
        <v>5957.4237252182675</v>
      </c>
      <c r="J129" s="54">
        <f t="shared" si="43"/>
        <v>0</v>
      </c>
      <c r="K129" s="54"/>
      <c r="L129" s="115"/>
      <c r="M129" s="54">
        <f t="shared" si="45"/>
        <v>0</v>
      </c>
      <c r="N129" s="115"/>
      <c r="O129" s="54">
        <f t="shared" si="47"/>
        <v>0</v>
      </c>
      <c r="P129" s="54">
        <f t="shared" si="48"/>
        <v>0</v>
      </c>
    </row>
    <row r="130" spans="2:16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23616.5</v>
      </c>
      <c r="E130" s="355">
        <f>IF(+J96&lt;F129,J96,D130)</f>
        <v>2610</v>
      </c>
      <c r="F130" s="55">
        <f t="shared" ref="F130:F145" si="75">+D130-E130</f>
        <v>21006.5</v>
      </c>
      <c r="G130" s="55">
        <f t="shared" ref="G130:G145" si="76">+(F130+D130)/2</f>
        <v>22311.5</v>
      </c>
      <c r="H130" s="356">
        <f t="shared" si="73"/>
        <v>5606.8518927515343</v>
      </c>
      <c r="I130" s="381">
        <f t="shared" si="74"/>
        <v>5606.8518927515343</v>
      </c>
      <c r="J130" s="54">
        <f t="shared" si="43"/>
        <v>0</v>
      </c>
      <c r="K130" s="54"/>
      <c r="L130" s="115"/>
      <c r="M130" s="54">
        <f t="shared" si="45"/>
        <v>0</v>
      </c>
      <c r="N130" s="115"/>
      <c r="O130" s="54">
        <f t="shared" si="47"/>
        <v>0</v>
      </c>
      <c r="P130" s="54">
        <f t="shared" si="48"/>
        <v>0</v>
      </c>
    </row>
    <row r="131" spans="2:16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21006.5</v>
      </c>
      <c r="E131" s="355">
        <f>IF(+J96&lt;F130,J96,D131)</f>
        <v>2610</v>
      </c>
      <c r="F131" s="55">
        <f t="shared" si="75"/>
        <v>18396.5</v>
      </c>
      <c r="G131" s="55">
        <f t="shared" si="76"/>
        <v>19701.5</v>
      </c>
      <c r="H131" s="356">
        <f t="shared" ref="H131:H154" si="77">+J$94*G131+E131</f>
        <v>5256.2800602848019</v>
      </c>
      <c r="I131" s="381">
        <f t="shared" ref="I131:I154" si="78">+J$95*G131+E131</f>
        <v>5256.2800602848019</v>
      </c>
      <c r="J131" s="54">
        <f t="shared" ref="J131:J154" si="79">+I540-H540</f>
        <v>0</v>
      </c>
      <c r="K131" s="54"/>
      <c r="L131" s="115"/>
      <c r="M131" s="54">
        <f t="shared" ref="M131:M154" si="80">IF(L540&lt;&gt;0,+H540-L540,0)</f>
        <v>0</v>
      </c>
      <c r="N131" s="115"/>
      <c r="O131" s="54">
        <f t="shared" ref="O131:O154" si="81">IF(N540&lt;&gt;0,+I540-N540,0)</f>
        <v>0</v>
      </c>
      <c r="P131" s="54">
        <f t="shared" ref="P131:P154" si="82">+O540-M540</f>
        <v>0</v>
      </c>
    </row>
    <row r="132" spans="2:16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18396.5</v>
      </c>
      <c r="E132" s="355">
        <f>IF(+J96&lt;F131,J96,D132)</f>
        <v>2610</v>
      </c>
      <c r="F132" s="55">
        <f t="shared" si="75"/>
        <v>15786.5</v>
      </c>
      <c r="G132" s="55">
        <f t="shared" si="76"/>
        <v>17091.5</v>
      </c>
      <c r="H132" s="356">
        <f t="shared" si="77"/>
        <v>4905.7082278180696</v>
      </c>
      <c r="I132" s="381">
        <f t="shared" si="78"/>
        <v>4905.7082278180696</v>
      </c>
      <c r="J132" s="54">
        <f t="shared" si="79"/>
        <v>0</v>
      </c>
      <c r="K132" s="54"/>
      <c r="L132" s="115"/>
      <c r="M132" s="54">
        <f t="shared" si="80"/>
        <v>0</v>
      </c>
      <c r="N132" s="115"/>
      <c r="O132" s="54">
        <f t="shared" si="81"/>
        <v>0</v>
      </c>
      <c r="P132" s="54">
        <f t="shared" si="82"/>
        <v>0</v>
      </c>
    </row>
    <row r="133" spans="2:16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15786.5</v>
      </c>
      <c r="E133" s="355">
        <f>IF(+J96&lt;F132,J96,D133)</f>
        <v>2610</v>
      </c>
      <c r="F133" s="55">
        <f t="shared" si="75"/>
        <v>13176.5</v>
      </c>
      <c r="G133" s="55">
        <f t="shared" si="76"/>
        <v>14481.5</v>
      </c>
      <c r="H133" s="356">
        <f t="shared" si="77"/>
        <v>4555.1363953513373</v>
      </c>
      <c r="I133" s="381">
        <f t="shared" si="78"/>
        <v>4555.1363953513373</v>
      </c>
      <c r="J133" s="54">
        <f t="shared" si="79"/>
        <v>0</v>
      </c>
      <c r="K133" s="54"/>
      <c r="L133" s="115"/>
      <c r="M133" s="54">
        <f t="shared" si="80"/>
        <v>0</v>
      </c>
      <c r="N133" s="115"/>
      <c r="O133" s="54">
        <f t="shared" si="81"/>
        <v>0</v>
      </c>
      <c r="P133" s="54">
        <f t="shared" si="82"/>
        <v>0</v>
      </c>
    </row>
    <row r="134" spans="2:16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13176.5</v>
      </c>
      <c r="E134" s="355">
        <f>IF(+J96&lt;F133,J96,D134)</f>
        <v>2610</v>
      </c>
      <c r="F134" s="55">
        <f t="shared" si="75"/>
        <v>10566.5</v>
      </c>
      <c r="G134" s="55">
        <f t="shared" si="76"/>
        <v>11871.5</v>
      </c>
      <c r="H134" s="356">
        <f t="shared" si="77"/>
        <v>4204.5645628846041</v>
      </c>
      <c r="I134" s="381">
        <f t="shared" si="78"/>
        <v>4204.5645628846041</v>
      </c>
      <c r="J134" s="54">
        <f t="shared" si="79"/>
        <v>0</v>
      </c>
      <c r="K134" s="54"/>
      <c r="L134" s="115"/>
      <c r="M134" s="54">
        <f t="shared" si="80"/>
        <v>0</v>
      </c>
      <c r="N134" s="115"/>
      <c r="O134" s="54">
        <f t="shared" si="81"/>
        <v>0</v>
      </c>
      <c r="P134" s="54">
        <f t="shared" si="82"/>
        <v>0</v>
      </c>
    </row>
    <row r="135" spans="2:16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10566.5</v>
      </c>
      <c r="E135" s="355">
        <f>IF(+J96&lt;F134,J96,D135)</f>
        <v>2610</v>
      </c>
      <c r="F135" s="55">
        <f t="shared" si="75"/>
        <v>7956.5</v>
      </c>
      <c r="G135" s="55">
        <f t="shared" si="76"/>
        <v>9261.5</v>
      </c>
      <c r="H135" s="356">
        <f t="shared" si="77"/>
        <v>3853.9927304178718</v>
      </c>
      <c r="I135" s="381">
        <f t="shared" si="78"/>
        <v>3853.9927304178718</v>
      </c>
      <c r="J135" s="54">
        <f t="shared" si="79"/>
        <v>0</v>
      </c>
      <c r="K135" s="54"/>
      <c r="L135" s="115"/>
      <c r="M135" s="54">
        <f t="shared" si="80"/>
        <v>0</v>
      </c>
      <c r="N135" s="115"/>
      <c r="O135" s="54">
        <f t="shared" si="81"/>
        <v>0</v>
      </c>
      <c r="P135" s="54">
        <f t="shared" si="82"/>
        <v>0</v>
      </c>
    </row>
    <row r="136" spans="2:16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7956.5</v>
      </c>
      <c r="E136" s="355">
        <f>IF(+J96&lt;F135,J96,D136)</f>
        <v>2610</v>
      </c>
      <c r="F136" s="55">
        <f t="shared" si="75"/>
        <v>5346.5</v>
      </c>
      <c r="G136" s="55">
        <f t="shared" si="76"/>
        <v>6651.5</v>
      </c>
      <c r="H136" s="356">
        <f t="shared" si="77"/>
        <v>3503.4208979511386</v>
      </c>
      <c r="I136" s="381">
        <f t="shared" si="78"/>
        <v>3503.4208979511386</v>
      </c>
      <c r="J136" s="54">
        <f t="shared" si="79"/>
        <v>0</v>
      </c>
      <c r="K136" s="54"/>
      <c r="L136" s="115"/>
      <c r="M136" s="54">
        <f t="shared" si="80"/>
        <v>0</v>
      </c>
      <c r="N136" s="115"/>
      <c r="O136" s="54">
        <f t="shared" si="81"/>
        <v>0</v>
      </c>
      <c r="P136" s="54">
        <f t="shared" si="82"/>
        <v>0</v>
      </c>
    </row>
    <row r="137" spans="2:16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5346.5</v>
      </c>
      <c r="E137" s="355">
        <f>IF(+J96&lt;F136,J96,D137)</f>
        <v>2610</v>
      </c>
      <c r="F137" s="55">
        <f t="shared" si="75"/>
        <v>2736.5</v>
      </c>
      <c r="G137" s="55">
        <f t="shared" si="76"/>
        <v>4041.5</v>
      </c>
      <c r="H137" s="356">
        <f t="shared" si="77"/>
        <v>3152.8490654844063</v>
      </c>
      <c r="I137" s="381">
        <f t="shared" si="78"/>
        <v>3152.8490654844063</v>
      </c>
      <c r="J137" s="54">
        <f t="shared" si="79"/>
        <v>0</v>
      </c>
      <c r="K137" s="54"/>
      <c r="L137" s="115"/>
      <c r="M137" s="54">
        <f t="shared" si="80"/>
        <v>0</v>
      </c>
      <c r="N137" s="115"/>
      <c r="O137" s="54">
        <f t="shared" si="81"/>
        <v>0</v>
      </c>
      <c r="P137" s="54">
        <f t="shared" si="82"/>
        <v>0</v>
      </c>
    </row>
    <row r="138" spans="2:16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2736.5</v>
      </c>
      <c r="E138" s="355">
        <f>IF(+J96&lt;F137,J96,D138)</f>
        <v>2610</v>
      </c>
      <c r="F138" s="55">
        <f t="shared" si="75"/>
        <v>126.5</v>
      </c>
      <c r="G138" s="55">
        <f t="shared" si="76"/>
        <v>1431.5</v>
      </c>
      <c r="H138" s="356">
        <f t="shared" si="77"/>
        <v>2802.2772330176736</v>
      </c>
      <c r="I138" s="381">
        <f t="shared" si="78"/>
        <v>2802.2772330176736</v>
      </c>
      <c r="J138" s="54">
        <f t="shared" si="79"/>
        <v>0</v>
      </c>
      <c r="K138" s="54"/>
      <c r="L138" s="115"/>
      <c r="M138" s="54">
        <f t="shared" si="80"/>
        <v>0</v>
      </c>
      <c r="N138" s="115"/>
      <c r="O138" s="54">
        <f t="shared" si="81"/>
        <v>0</v>
      </c>
      <c r="P138" s="54">
        <f t="shared" si="82"/>
        <v>0</v>
      </c>
    </row>
    <row r="139" spans="2:16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126.5</v>
      </c>
      <c r="E139" s="355">
        <f>IF(+J96&lt;F138,J96,D139)</f>
        <v>126.5</v>
      </c>
      <c r="F139" s="55">
        <f t="shared" si="75"/>
        <v>0</v>
      </c>
      <c r="G139" s="55">
        <f t="shared" si="76"/>
        <v>63.25</v>
      </c>
      <c r="H139" s="356">
        <f t="shared" si="77"/>
        <v>134.99565839215359</v>
      </c>
      <c r="I139" s="381">
        <f t="shared" si="78"/>
        <v>134.99565839215359</v>
      </c>
      <c r="J139" s="54">
        <f t="shared" si="79"/>
        <v>0</v>
      </c>
      <c r="K139" s="54"/>
      <c r="L139" s="115"/>
      <c r="M139" s="54">
        <f t="shared" si="80"/>
        <v>0</v>
      </c>
      <c r="N139" s="115"/>
      <c r="O139" s="54">
        <f t="shared" si="81"/>
        <v>0</v>
      </c>
      <c r="P139" s="54">
        <f t="shared" si="82"/>
        <v>0</v>
      </c>
    </row>
    <row r="140" spans="2:16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5"/>
        <v>0</v>
      </c>
      <c r="G140" s="55">
        <f t="shared" si="76"/>
        <v>0</v>
      </c>
      <c r="H140" s="356">
        <f t="shared" si="77"/>
        <v>0</v>
      </c>
      <c r="I140" s="381">
        <f t="shared" si="78"/>
        <v>0</v>
      </c>
      <c r="J140" s="54">
        <f t="shared" si="79"/>
        <v>0</v>
      </c>
      <c r="K140" s="54"/>
      <c r="L140" s="115"/>
      <c r="M140" s="54">
        <f t="shared" si="80"/>
        <v>0</v>
      </c>
      <c r="N140" s="115"/>
      <c r="O140" s="54">
        <f t="shared" si="81"/>
        <v>0</v>
      </c>
      <c r="P140" s="54">
        <f t="shared" si="82"/>
        <v>0</v>
      </c>
    </row>
    <row r="141" spans="2:16" ht="12.5">
      <c r="B141" s="7" t="str">
        <f t="shared" si="49"/>
        <v/>
      </c>
      <c r="C141" s="50">
        <f>IF(D93="","-",+C140+1)</f>
        <v>2052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5"/>
        <v>0</v>
      </c>
      <c r="G141" s="55">
        <f t="shared" si="76"/>
        <v>0</v>
      </c>
      <c r="H141" s="356">
        <f t="shared" si="77"/>
        <v>0</v>
      </c>
      <c r="I141" s="381">
        <f t="shared" si="78"/>
        <v>0</v>
      </c>
      <c r="J141" s="54">
        <f t="shared" si="79"/>
        <v>0</v>
      </c>
      <c r="K141" s="54"/>
      <c r="L141" s="115"/>
      <c r="M141" s="54">
        <f t="shared" si="80"/>
        <v>0</v>
      </c>
      <c r="N141" s="115"/>
      <c r="O141" s="54">
        <f t="shared" si="81"/>
        <v>0</v>
      </c>
      <c r="P141" s="54">
        <f t="shared" si="82"/>
        <v>0</v>
      </c>
    </row>
    <row r="142" spans="2:16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5"/>
        <v>0</v>
      </c>
      <c r="G142" s="55">
        <f t="shared" si="76"/>
        <v>0</v>
      </c>
      <c r="H142" s="356">
        <f t="shared" si="77"/>
        <v>0</v>
      </c>
      <c r="I142" s="381">
        <f t="shared" si="78"/>
        <v>0</v>
      </c>
      <c r="J142" s="54">
        <f t="shared" si="79"/>
        <v>0</v>
      </c>
      <c r="K142" s="54"/>
      <c r="L142" s="115"/>
      <c r="M142" s="54">
        <f t="shared" si="80"/>
        <v>0</v>
      </c>
      <c r="N142" s="115"/>
      <c r="O142" s="54">
        <f t="shared" si="81"/>
        <v>0</v>
      </c>
      <c r="P142" s="54">
        <f t="shared" si="82"/>
        <v>0</v>
      </c>
    </row>
    <row r="143" spans="2:16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5"/>
        <v>0</v>
      </c>
      <c r="G143" s="55">
        <f t="shared" si="76"/>
        <v>0</v>
      </c>
      <c r="H143" s="356">
        <f t="shared" si="77"/>
        <v>0</v>
      </c>
      <c r="I143" s="381">
        <f t="shared" si="78"/>
        <v>0</v>
      </c>
      <c r="J143" s="54">
        <f t="shared" si="79"/>
        <v>0</v>
      </c>
      <c r="K143" s="54"/>
      <c r="L143" s="115"/>
      <c r="M143" s="54">
        <f t="shared" si="80"/>
        <v>0</v>
      </c>
      <c r="N143" s="115"/>
      <c r="O143" s="54">
        <f t="shared" si="81"/>
        <v>0</v>
      </c>
      <c r="P143" s="54">
        <f t="shared" si="82"/>
        <v>0</v>
      </c>
    </row>
    <row r="144" spans="2:16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5"/>
        <v>0</v>
      </c>
      <c r="G144" s="55">
        <f t="shared" si="76"/>
        <v>0</v>
      </c>
      <c r="H144" s="356">
        <f t="shared" si="77"/>
        <v>0</v>
      </c>
      <c r="I144" s="381">
        <f t="shared" si="78"/>
        <v>0</v>
      </c>
      <c r="J144" s="54">
        <f t="shared" si="79"/>
        <v>0</v>
      </c>
      <c r="K144" s="54"/>
      <c r="L144" s="115"/>
      <c r="M144" s="54">
        <f t="shared" si="80"/>
        <v>0</v>
      </c>
      <c r="N144" s="115"/>
      <c r="O144" s="54">
        <f t="shared" si="81"/>
        <v>0</v>
      </c>
      <c r="P144" s="54">
        <f t="shared" si="82"/>
        <v>0</v>
      </c>
    </row>
    <row r="145" spans="2:16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5"/>
        <v>0</v>
      </c>
      <c r="G145" s="55">
        <f t="shared" si="76"/>
        <v>0</v>
      </c>
      <c r="H145" s="356">
        <f t="shared" si="77"/>
        <v>0</v>
      </c>
      <c r="I145" s="381">
        <f t="shared" si="78"/>
        <v>0</v>
      </c>
      <c r="J145" s="54">
        <f t="shared" si="79"/>
        <v>0</v>
      </c>
      <c r="K145" s="54"/>
      <c r="L145" s="115"/>
      <c r="M145" s="54">
        <f t="shared" si="80"/>
        <v>0</v>
      </c>
      <c r="N145" s="115"/>
      <c r="O145" s="54">
        <f t="shared" si="81"/>
        <v>0</v>
      </c>
      <c r="P145" s="54">
        <f t="shared" si="82"/>
        <v>0</v>
      </c>
    </row>
    <row r="146" spans="2:16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ref="F146:F154" si="83">+D146-E146</f>
        <v>0</v>
      </c>
      <c r="G146" s="55">
        <f t="shared" ref="G146:G154" si="84">+(F146+D146)/2</f>
        <v>0</v>
      </c>
      <c r="H146" s="356">
        <f t="shared" si="77"/>
        <v>0</v>
      </c>
      <c r="I146" s="381">
        <f t="shared" si="78"/>
        <v>0</v>
      </c>
      <c r="J146" s="54">
        <f t="shared" si="79"/>
        <v>0</v>
      </c>
      <c r="K146" s="54"/>
      <c r="L146" s="115"/>
      <c r="M146" s="54">
        <f t="shared" si="80"/>
        <v>0</v>
      </c>
      <c r="N146" s="115"/>
      <c r="O146" s="54">
        <f t="shared" si="81"/>
        <v>0</v>
      </c>
      <c r="P146" s="54">
        <f t="shared" si="82"/>
        <v>0</v>
      </c>
    </row>
    <row r="147" spans="2:16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83"/>
        <v>0</v>
      </c>
      <c r="G147" s="55">
        <f t="shared" si="84"/>
        <v>0</v>
      </c>
      <c r="H147" s="356">
        <f t="shared" si="77"/>
        <v>0</v>
      </c>
      <c r="I147" s="381">
        <f t="shared" si="78"/>
        <v>0</v>
      </c>
      <c r="J147" s="54">
        <f t="shared" si="79"/>
        <v>0</v>
      </c>
      <c r="K147" s="54"/>
      <c r="L147" s="115"/>
      <c r="M147" s="54">
        <f t="shared" si="80"/>
        <v>0</v>
      </c>
      <c r="N147" s="115"/>
      <c r="O147" s="54">
        <f t="shared" si="81"/>
        <v>0</v>
      </c>
      <c r="P147" s="54">
        <f t="shared" si="82"/>
        <v>0</v>
      </c>
    </row>
    <row r="148" spans="2:16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83"/>
        <v>0</v>
      </c>
      <c r="G148" s="55">
        <f t="shared" si="84"/>
        <v>0</v>
      </c>
      <c r="H148" s="356">
        <f t="shared" si="77"/>
        <v>0</v>
      </c>
      <c r="I148" s="381">
        <f t="shared" si="78"/>
        <v>0</v>
      </c>
      <c r="J148" s="54">
        <f t="shared" si="79"/>
        <v>0</v>
      </c>
      <c r="K148" s="54"/>
      <c r="L148" s="115"/>
      <c r="M148" s="54">
        <f t="shared" si="80"/>
        <v>0</v>
      </c>
      <c r="N148" s="115"/>
      <c r="O148" s="54">
        <f t="shared" si="81"/>
        <v>0</v>
      </c>
      <c r="P148" s="54">
        <f t="shared" si="82"/>
        <v>0</v>
      </c>
    </row>
    <row r="149" spans="2:16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83"/>
        <v>0</v>
      </c>
      <c r="G149" s="55">
        <f t="shared" si="84"/>
        <v>0</v>
      </c>
      <c r="H149" s="356">
        <f t="shared" si="77"/>
        <v>0</v>
      </c>
      <c r="I149" s="381">
        <f t="shared" si="78"/>
        <v>0</v>
      </c>
      <c r="J149" s="54">
        <f t="shared" si="79"/>
        <v>0</v>
      </c>
      <c r="K149" s="54"/>
      <c r="L149" s="115"/>
      <c r="M149" s="54">
        <f t="shared" si="80"/>
        <v>0</v>
      </c>
      <c r="N149" s="115"/>
      <c r="O149" s="54">
        <f t="shared" si="81"/>
        <v>0</v>
      </c>
      <c r="P149" s="54">
        <f t="shared" si="82"/>
        <v>0</v>
      </c>
    </row>
    <row r="150" spans="2:16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83"/>
        <v>0</v>
      </c>
      <c r="G150" s="55">
        <f t="shared" si="84"/>
        <v>0</v>
      </c>
      <c r="H150" s="356">
        <f t="shared" si="77"/>
        <v>0</v>
      </c>
      <c r="I150" s="381">
        <f t="shared" si="78"/>
        <v>0</v>
      </c>
      <c r="J150" s="54">
        <f t="shared" si="79"/>
        <v>0</v>
      </c>
      <c r="K150" s="54"/>
      <c r="L150" s="115"/>
      <c r="M150" s="54">
        <f t="shared" si="80"/>
        <v>0</v>
      </c>
      <c r="N150" s="115"/>
      <c r="O150" s="54">
        <f t="shared" si="81"/>
        <v>0</v>
      </c>
      <c r="P150" s="54">
        <f t="shared" si="82"/>
        <v>0</v>
      </c>
    </row>
    <row r="151" spans="2:16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83"/>
        <v>0</v>
      </c>
      <c r="G151" s="55">
        <f t="shared" si="84"/>
        <v>0</v>
      </c>
      <c r="H151" s="356">
        <f t="shared" si="77"/>
        <v>0</v>
      </c>
      <c r="I151" s="381">
        <f t="shared" si="78"/>
        <v>0</v>
      </c>
      <c r="J151" s="54">
        <f t="shared" si="79"/>
        <v>0</v>
      </c>
      <c r="K151" s="54"/>
      <c r="L151" s="115"/>
      <c r="M151" s="54">
        <f t="shared" si="80"/>
        <v>0</v>
      </c>
      <c r="N151" s="115"/>
      <c r="O151" s="54">
        <f t="shared" si="81"/>
        <v>0</v>
      </c>
      <c r="P151" s="54">
        <f t="shared" si="82"/>
        <v>0</v>
      </c>
    </row>
    <row r="152" spans="2:16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83"/>
        <v>0</v>
      </c>
      <c r="G152" s="55">
        <f t="shared" si="84"/>
        <v>0</v>
      </c>
      <c r="H152" s="356">
        <f t="shared" si="77"/>
        <v>0</v>
      </c>
      <c r="I152" s="381">
        <f t="shared" si="78"/>
        <v>0</v>
      </c>
      <c r="J152" s="54">
        <f t="shared" si="79"/>
        <v>0</v>
      </c>
      <c r="K152" s="54"/>
      <c r="L152" s="115"/>
      <c r="M152" s="54">
        <f t="shared" si="80"/>
        <v>0</v>
      </c>
      <c r="N152" s="115"/>
      <c r="O152" s="54">
        <f t="shared" si="81"/>
        <v>0</v>
      </c>
      <c r="P152" s="54">
        <f t="shared" si="82"/>
        <v>0</v>
      </c>
    </row>
    <row r="153" spans="2:16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83"/>
        <v>0</v>
      </c>
      <c r="G153" s="55">
        <f t="shared" si="84"/>
        <v>0</v>
      </c>
      <c r="H153" s="356">
        <f t="shared" si="77"/>
        <v>0</v>
      </c>
      <c r="I153" s="381">
        <f t="shared" si="78"/>
        <v>0</v>
      </c>
      <c r="J153" s="54">
        <f t="shared" si="79"/>
        <v>0</v>
      </c>
      <c r="K153" s="54"/>
      <c r="L153" s="115"/>
      <c r="M153" s="54">
        <f t="shared" si="80"/>
        <v>0</v>
      </c>
      <c r="N153" s="115"/>
      <c r="O153" s="54">
        <f t="shared" si="81"/>
        <v>0</v>
      </c>
      <c r="P153" s="54">
        <f t="shared" si="82"/>
        <v>0</v>
      </c>
    </row>
    <row r="154" spans="2:16" ht="13" thickBot="1">
      <c r="B154" s="7" t="str">
        <f t="shared" si="49"/>
        <v/>
      </c>
      <c r="C154" s="58">
        <f>IF(D93="","-",+C153+1)</f>
        <v>2065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83"/>
        <v>0</v>
      </c>
      <c r="G154" s="59">
        <f t="shared" si="84"/>
        <v>0</v>
      </c>
      <c r="H154" s="358">
        <f t="shared" si="77"/>
        <v>0</v>
      </c>
      <c r="I154" s="383">
        <f t="shared" si="78"/>
        <v>0</v>
      </c>
      <c r="J154" s="62">
        <f t="shared" si="79"/>
        <v>0</v>
      </c>
      <c r="K154" s="54"/>
      <c r="L154" s="116"/>
      <c r="M154" s="62">
        <f t="shared" si="80"/>
        <v>0</v>
      </c>
      <c r="N154" s="116"/>
      <c r="O154" s="62">
        <f t="shared" si="81"/>
        <v>0</v>
      </c>
      <c r="P154" s="62">
        <f t="shared" si="82"/>
        <v>0</v>
      </c>
    </row>
    <row r="155" spans="2:16" ht="12.5">
      <c r="C155" s="12" t="s">
        <v>77</v>
      </c>
      <c r="D155" s="267"/>
      <c r="E155" s="267">
        <f>SUM(E99:E154)</f>
        <v>96566</v>
      </c>
      <c r="F155" s="267"/>
      <c r="G155" s="267"/>
      <c r="H155" s="267">
        <f>SUM(H99:H154)</f>
        <v>358351.36996877461</v>
      </c>
      <c r="I155" s="267">
        <f>SUM(I99:I154)</f>
        <v>358351.36996877461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1">
    <tabColor rgb="FF92D050"/>
  </sheetPr>
  <dimension ref="A1:V162"/>
  <sheetViews>
    <sheetView topLeftCell="A133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3" width="17.7265625" customWidth="1"/>
    <col min="14" max="14" width="16.7265625" customWidth="1"/>
    <col min="15" max="15" width="18.4531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11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396" t="s">
        <v>263</v>
      </c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143506.99</v>
      </c>
      <c r="P5" s="1"/>
    </row>
    <row r="6" spans="1:16" ht="15.5">
      <c r="C6" s="397" t="s">
        <v>264</v>
      </c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143506.99</v>
      </c>
      <c r="O6" s="1"/>
      <c r="P6" s="1"/>
    </row>
    <row r="7" spans="1:16" ht="13.5" thickBot="1">
      <c r="C7" s="26" t="s">
        <v>46</v>
      </c>
      <c r="D7" s="332" t="s">
        <v>229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6" thickBot="1">
      <c r="C8" s="398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228</v>
      </c>
      <c r="E9" s="404" t="s">
        <v>344</v>
      </c>
      <c r="F9" s="32"/>
      <c r="G9" s="452" t="s">
        <v>397</v>
      </c>
      <c r="H9" s="32"/>
      <c r="I9" s="33"/>
      <c r="J9" s="34"/>
      <c r="P9" s="1"/>
    </row>
    <row r="10" spans="1:16" ht="13">
      <c r="C10" s="128" t="s">
        <v>226</v>
      </c>
      <c r="D10" s="336">
        <v>1404099.6199999999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2011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36949.99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2011</v>
      </c>
      <c r="D17" s="349">
        <v>1624000</v>
      </c>
      <c r="E17" s="350">
        <v>15921.568627450981</v>
      </c>
      <c r="F17" s="349">
        <v>1608078.4313725489</v>
      </c>
      <c r="G17" s="350">
        <v>267655.54041850357</v>
      </c>
      <c r="H17" s="353">
        <v>267655.54041850357</v>
      </c>
      <c r="I17" s="52">
        <f>H17-G17</f>
        <v>0</v>
      </c>
      <c r="J17" s="52"/>
      <c r="K17" s="117">
        <f t="shared" ref="K17:K22" si="0">G17</f>
        <v>267655.54041850357</v>
      </c>
      <c r="L17" s="53">
        <f t="shared" ref="L17:L48" si="1">IF(K17&lt;&gt;0,+G17-K17,0)</f>
        <v>0</v>
      </c>
      <c r="M17" s="117">
        <f t="shared" ref="M17:M22" si="2">H17</f>
        <v>267655.54041850357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2012</v>
      </c>
      <c r="D18" s="351">
        <v>1420815.4313725489</v>
      </c>
      <c r="E18" s="352">
        <v>27629.557692307691</v>
      </c>
      <c r="F18" s="351">
        <v>1393185.8736802412</v>
      </c>
      <c r="G18" s="352">
        <v>221570.55769230769</v>
      </c>
      <c r="H18" s="353">
        <v>221570.55769230769</v>
      </c>
      <c r="I18" s="52">
        <f t="shared" ref="I18:I48" si="6">H18-G18</f>
        <v>0</v>
      </c>
      <c r="J18" s="52"/>
      <c r="K18" s="324">
        <f t="shared" si="0"/>
        <v>221570.55769230769</v>
      </c>
      <c r="L18" s="54">
        <f t="shared" si="1"/>
        <v>0</v>
      </c>
      <c r="M18" s="324">
        <f t="shared" si="2"/>
        <v>221570.55769230769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 t="shared" si="5"/>
        <v>IU</v>
      </c>
      <c r="C19" s="50">
        <f>IF(D11="","-",+C18+1)</f>
        <v>2013</v>
      </c>
      <c r="D19" s="351">
        <v>1450171.8736802414</v>
      </c>
      <c r="E19" s="352">
        <v>28725.442307692309</v>
      </c>
      <c r="F19" s="351">
        <v>1421446.4313725492</v>
      </c>
      <c r="G19" s="352">
        <v>231717.44230769231</v>
      </c>
      <c r="H19" s="353">
        <v>231717.44230769231</v>
      </c>
      <c r="I19" s="52">
        <v>0</v>
      </c>
      <c r="J19" s="52"/>
      <c r="K19" s="324">
        <f t="shared" si="0"/>
        <v>231717.44230769231</v>
      </c>
      <c r="L19" s="54">
        <f t="shared" ref="L19:L24" si="7">IF(K19&lt;&gt;0,+G19-K19,0)</f>
        <v>0</v>
      </c>
      <c r="M19" s="324">
        <f t="shared" si="2"/>
        <v>231717.44230769231</v>
      </c>
      <c r="N19" s="54">
        <f t="shared" ref="N19:N24" si="8">IF(M19&lt;&gt;0,+H19-M19,0)</f>
        <v>0</v>
      </c>
      <c r="O19" s="54">
        <f t="shared" ref="O19:O24" si="9">+N19-L19</f>
        <v>0</v>
      </c>
      <c r="P19" s="1"/>
    </row>
    <row r="20" spans="2:16" ht="12.5">
      <c r="B20" s="7" t="str">
        <f t="shared" si="5"/>
        <v>IU</v>
      </c>
      <c r="C20" s="50">
        <f>IF(D11="","-",+C19+1)</f>
        <v>2014</v>
      </c>
      <c r="D20" s="351">
        <v>1331823.0513725488</v>
      </c>
      <c r="E20" s="352">
        <v>27001.915769230767</v>
      </c>
      <c r="F20" s="351">
        <v>1304821.135603318</v>
      </c>
      <c r="G20" s="352">
        <v>206621.91576923078</v>
      </c>
      <c r="H20" s="353">
        <v>206621.91576923078</v>
      </c>
      <c r="I20" s="52">
        <v>0</v>
      </c>
      <c r="J20" s="52"/>
      <c r="K20" s="324">
        <f t="shared" si="0"/>
        <v>206621.91576923078</v>
      </c>
      <c r="L20" s="54">
        <f t="shared" si="7"/>
        <v>0</v>
      </c>
      <c r="M20" s="324">
        <f t="shared" si="2"/>
        <v>206621.91576923078</v>
      </c>
      <c r="N20" s="54">
        <f t="shared" si="8"/>
        <v>0</v>
      </c>
      <c r="O20" s="54">
        <f t="shared" si="9"/>
        <v>0</v>
      </c>
      <c r="P20" s="1"/>
    </row>
    <row r="21" spans="2:16" ht="12.5">
      <c r="B21" s="7" t="str">
        <f t="shared" si="5"/>
        <v/>
      </c>
      <c r="C21" s="50">
        <f>IF(D11="","-",+C20+1)</f>
        <v>2015</v>
      </c>
      <c r="D21" s="351">
        <v>1304821.135603318</v>
      </c>
      <c r="E21" s="352">
        <v>27001.915769230767</v>
      </c>
      <c r="F21" s="351">
        <v>1277819.2198340872</v>
      </c>
      <c r="G21" s="352">
        <v>203176.91576923078</v>
      </c>
      <c r="H21" s="353">
        <v>203176.91576923078</v>
      </c>
      <c r="I21" s="52">
        <v>0</v>
      </c>
      <c r="J21" s="52"/>
      <c r="K21" s="324">
        <f t="shared" si="0"/>
        <v>203176.91576923078</v>
      </c>
      <c r="L21" s="54">
        <f t="shared" si="7"/>
        <v>0</v>
      </c>
      <c r="M21" s="324">
        <f t="shared" si="2"/>
        <v>203176.91576923078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5"/>
        <v/>
      </c>
      <c r="C22" s="50">
        <f>IF(D11="","-",+C21+1)</f>
        <v>2016</v>
      </c>
      <c r="D22" s="351">
        <v>1277819.2198340872</v>
      </c>
      <c r="E22" s="352">
        <v>27001.915769230767</v>
      </c>
      <c r="F22" s="351">
        <v>1250817.3040648564</v>
      </c>
      <c r="G22" s="352">
        <v>191058.91576923078</v>
      </c>
      <c r="H22" s="353">
        <v>191058.91576923078</v>
      </c>
      <c r="I22" s="52">
        <f t="shared" si="6"/>
        <v>0</v>
      </c>
      <c r="J22" s="52"/>
      <c r="K22" s="324">
        <f t="shared" si="0"/>
        <v>191058.91576923078</v>
      </c>
      <c r="L22" s="54">
        <f t="shared" si="7"/>
        <v>0</v>
      </c>
      <c r="M22" s="324">
        <f t="shared" si="2"/>
        <v>191058.91576923078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5"/>
        <v/>
      </c>
      <c r="C23" s="50">
        <f>IF(D11="","-",+C22+1)</f>
        <v>2017</v>
      </c>
      <c r="D23" s="351">
        <v>1250817.3040648564</v>
      </c>
      <c r="E23" s="352">
        <v>30523.904782608693</v>
      </c>
      <c r="F23" s="351">
        <v>1220293.3992822478</v>
      </c>
      <c r="G23" s="352">
        <v>185818.9047826087</v>
      </c>
      <c r="H23" s="353">
        <v>185818.9047826087</v>
      </c>
      <c r="I23" s="52">
        <f t="shared" si="6"/>
        <v>0</v>
      </c>
      <c r="J23" s="52"/>
      <c r="K23" s="324">
        <f t="shared" ref="K23:K28" si="10">G23</f>
        <v>185818.9047826087</v>
      </c>
      <c r="L23" s="54">
        <f t="shared" si="7"/>
        <v>0</v>
      </c>
      <c r="M23" s="324">
        <f t="shared" ref="M23:M28" si="11">H23</f>
        <v>185818.9047826087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5"/>
        <v/>
      </c>
      <c r="C24" s="50">
        <f>IF(D11="","-",+C23+1)</f>
        <v>2018</v>
      </c>
      <c r="D24" s="351">
        <v>1220293.3992822478</v>
      </c>
      <c r="E24" s="352">
        <v>31202.213777777775</v>
      </c>
      <c r="F24" s="351">
        <v>1189091.18550447</v>
      </c>
      <c r="G24" s="352">
        <v>175474.88659362236</v>
      </c>
      <c r="H24" s="353">
        <v>175474.88659362236</v>
      </c>
      <c r="I24" s="52">
        <f t="shared" si="6"/>
        <v>0</v>
      </c>
      <c r="J24" s="52"/>
      <c r="K24" s="324">
        <f t="shared" si="10"/>
        <v>175474.88659362236</v>
      </c>
      <c r="L24" s="54">
        <f t="shared" si="7"/>
        <v>0</v>
      </c>
      <c r="M24" s="324">
        <f t="shared" si="11"/>
        <v>175474.88659362236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5"/>
        <v/>
      </c>
      <c r="C25" s="50">
        <f>IF(D11="","-",+C24+1)</f>
        <v>2019</v>
      </c>
      <c r="D25" s="351">
        <v>1189091.18550447</v>
      </c>
      <c r="E25" s="352">
        <v>35102.4905</v>
      </c>
      <c r="F25" s="351">
        <v>1153988.6950044699</v>
      </c>
      <c r="G25" s="352">
        <v>165912.69365934882</v>
      </c>
      <c r="H25" s="353">
        <v>165912.69365934882</v>
      </c>
      <c r="I25" s="52">
        <f t="shared" si="6"/>
        <v>0</v>
      </c>
      <c r="J25" s="52"/>
      <c r="K25" s="324">
        <f t="shared" si="10"/>
        <v>165912.69365934882</v>
      </c>
      <c r="L25" s="54">
        <f t="shared" ref="L25" si="12">IF(K25&lt;&gt;0,+G25-K25,0)</f>
        <v>0</v>
      </c>
      <c r="M25" s="324">
        <f t="shared" si="11"/>
        <v>165912.69365934882</v>
      </c>
      <c r="N25" s="54">
        <f t="shared" ref="N25" si="13">IF(M25&lt;&gt;0,+H25-M25,0)</f>
        <v>0</v>
      </c>
      <c r="O25" s="54">
        <f t="shared" ref="O25" si="14">+N25-L25</f>
        <v>0</v>
      </c>
      <c r="P25" s="1"/>
    </row>
    <row r="26" spans="2:16" ht="12.5">
      <c r="B26" s="7" t="str">
        <f t="shared" si="5"/>
        <v>IU</v>
      </c>
      <c r="C26" s="50">
        <f>IF(D11="","-",+C25+1)</f>
        <v>2020</v>
      </c>
      <c r="D26" s="351">
        <v>1157888.9717266923</v>
      </c>
      <c r="E26" s="352">
        <v>33430.943333333329</v>
      </c>
      <c r="F26" s="351">
        <v>1124458.0283933589</v>
      </c>
      <c r="G26" s="352">
        <v>156683.13262286683</v>
      </c>
      <c r="H26" s="353">
        <v>156683.13262286683</v>
      </c>
      <c r="I26" s="52">
        <f t="shared" si="6"/>
        <v>0</v>
      </c>
      <c r="J26" s="52"/>
      <c r="K26" s="324">
        <f t="shared" si="10"/>
        <v>156683.13262286683</v>
      </c>
      <c r="L26" s="54">
        <f t="shared" ref="L26" si="15">IF(K26&lt;&gt;0,+G26-K26,0)</f>
        <v>0</v>
      </c>
      <c r="M26" s="324">
        <f t="shared" si="11"/>
        <v>156683.13262286683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2021</v>
      </c>
      <c r="D27" s="351">
        <v>1120557.7516711368</v>
      </c>
      <c r="E27" s="352">
        <v>32653.479534883718</v>
      </c>
      <c r="F27" s="351">
        <v>1087904.2721362531</v>
      </c>
      <c r="G27" s="352">
        <v>149953.47953488372</v>
      </c>
      <c r="H27" s="353">
        <v>149953.47953488372</v>
      </c>
      <c r="I27" s="52">
        <f t="shared" si="6"/>
        <v>0</v>
      </c>
      <c r="J27" s="52"/>
      <c r="K27" s="324">
        <f t="shared" si="10"/>
        <v>149953.47953488372</v>
      </c>
      <c r="L27" s="54">
        <f t="shared" ref="L27" si="16">IF(K27&lt;&gt;0,+G27-K27,0)</f>
        <v>0</v>
      </c>
      <c r="M27" s="324">
        <f t="shared" si="11"/>
        <v>149953.47953488372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2022</v>
      </c>
      <c r="D28" s="351">
        <v>1087904.2721362531</v>
      </c>
      <c r="E28" s="352">
        <v>33430.943333333329</v>
      </c>
      <c r="F28" s="351">
        <v>1054473.3288029197</v>
      </c>
      <c r="G28" s="352">
        <v>147114.94333333333</v>
      </c>
      <c r="H28" s="353">
        <v>147114.94333333333</v>
      </c>
      <c r="I28" s="52">
        <f t="shared" si="6"/>
        <v>0</v>
      </c>
      <c r="J28" s="52"/>
      <c r="K28" s="324">
        <f t="shared" si="10"/>
        <v>147114.94333333333</v>
      </c>
      <c r="L28" s="54">
        <f t="shared" ref="L28" si="17">IF(K28&lt;&gt;0,+G28-K28,0)</f>
        <v>0</v>
      </c>
      <c r="M28" s="324">
        <f t="shared" si="11"/>
        <v>147114.94333333333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2023</v>
      </c>
      <c r="D29" s="351">
        <v>1054473.3288029197</v>
      </c>
      <c r="E29" s="352">
        <v>36002.554358974354</v>
      </c>
      <c r="F29" s="351">
        <v>1018470.7744439454</v>
      </c>
      <c r="G29" s="352">
        <v>157566.55435897436</v>
      </c>
      <c r="H29" s="353">
        <v>157566.55435897436</v>
      </c>
      <c r="I29" s="52">
        <f t="shared" si="6"/>
        <v>0</v>
      </c>
      <c r="J29" s="52"/>
      <c r="K29" s="324">
        <f t="shared" ref="K29" si="18">G29</f>
        <v>157566.55435897436</v>
      </c>
      <c r="L29" s="54">
        <f t="shared" ref="L29" si="19">IF(K29&lt;&gt;0,+G29-K29,0)</f>
        <v>0</v>
      </c>
      <c r="M29" s="324">
        <f t="shared" ref="M29" si="20">H29</f>
        <v>157566.55435897436</v>
      </c>
      <c r="N29" s="54">
        <f t="shared" ref="N29" si="21">IF(M29&lt;&gt;0,+H29-M29,0)</f>
        <v>0</v>
      </c>
      <c r="O29" s="54">
        <f t="shared" ref="O29" si="22">+N29-L29</f>
        <v>0</v>
      </c>
      <c r="P29" s="1"/>
    </row>
    <row r="30" spans="2:16" ht="12.5">
      <c r="B30" s="7" t="str">
        <f t="shared" si="5"/>
        <v/>
      </c>
      <c r="C30" s="450">
        <f>IF(D11="","-",+C29+1)</f>
        <v>2024</v>
      </c>
      <c r="D30" s="351">
        <v>1018470.7744439454</v>
      </c>
      <c r="E30" s="352">
        <v>36949.99</v>
      </c>
      <c r="F30" s="351">
        <v>981520.78444394539</v>
      </c>
      <c r="G30" s="352">
        <v>148587.99</v>
      </c>
      <c r="H30" s="353">
        <v>148587.99</v>
      </c>
      <c r="I30" s="52">
        <f t="shared" si="6"/>
        <v>0</v>
      </c>
      <c r="J30" s="52"/>
      <c r="K30" s="324">
        <f t="shared" ref="K30" si="23">G30</f>
        <v>148587.99</v>
      </c>
      <c r="L30" s="54">
        <f t="shared" ref="L30" si="24">IF(K30&lt;&gt;0,+G30-K30,0)</f>
        <v>0</v>
      </c>
      <c r="M30" s="324">
        <f t="shared" ref="M30" si="25">H30</f>
        <v>148587.99</v>
      </c>
      <c r="N30" s="54">
        <f t="shared" ref="N30" si="26">IF(M30&lt;&gt;0,+H30-M30,0)</f>
        <v>0</v>
      </c>
      <c r="O30" s="54">
        <f t="shared" ref="O30" si="27">+N30-L30</f>
        <v>0</v>
      </c>
      <c r="P30" s="1"/>
    </row>
    <row r="31" spans="2:16" ht="13">
      <c r="B31" s="7" t="str">
        <f t="shared" si="5"/>
        <v/>
      </c>
      <c r="C31" s="449">
        <f>IF(D11="","-",+C30+1)</f>
        <v>2025</v>
      </c>
      <c r="D31" s="351">
        <v>981520.78444394539</v>
      </c>
      <c r="E31" s="352">
        <v>36949.99</v>
      </c>
      <c r="F31" s="351">
        <v>944570.7944439454</v>
      </c>
      <c r="G31" s="352">
        <v>144258.99</v>
      </c>
      <c r="H31" s="353">
        <v>144258.99</v>
      </c>
      <c r="I31" s="52">
        <f t="shared" si="6"/>
        <v>0</v>
      </c>
      <c r="J31" s="52"/>
      <c r="K31" s="324">
        <f t="shared" ref="K31" si="28">G31</f>
        <v>144258.99</v>
      </c>
      <c r="L31" s="54">
        <f t="shared" ref="L31" si="29">IF(K31&lt;&gt;0,+G31-K31,0)</f>
        <v>0</v>
      </c>
      <c r="M31" s="324">
        <f t="shared" ref="M31" si="30">H31</f>
        <v>144258.99</v>
      </c>
      <c r="N31" s="54">
        <f t="shared" ref="N31" si="31">IF(M31&lt;&gt;0,+H31-M31,0)</f>
        <v>0</v>
      </c>
      <c r="O31" s="54">
        <f t="shared" ref="O31" si="32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944570.7944439454</v>
      </c>
      <c r="E32" s="354">
        <f>IF(+I14&lt;F31,I14,D32)</f>
        <v>36949.99</v>
      </c>
      <c r="F32" s="55">
        <f t="shared" ref="F32:F49" si="33">+D32-E32</f>
        <v>907620.80444394541</v>
      </c>
      <c r="G32" s="355">
        <f t="shared" ref="G32:G49" si="34">ROUND(I$12*F32,0)+E32</f>
        <v>143506.99</v>
      </c>
      <c r="H32" s="337">
        <f t="shared" ref="H32:H49" si="35">ROUND(I$13*F32,0)+E32</f>
        <v>143506.99</v>
      </c>
      <c r="I32" s="52">
        <f t="shared" si="6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907620.80444394541</v>
      </c>
      <c r="E33" s="354">
        <f>IF(+I14&lt;F32,I14,D33)</f>
        <v>36949.99</v>
      </c>
      <c r="F33" s="55">
        <f t="shared" si="33"/>
        <v>870670.81444394542</v>
      </c>
      <c r="G33" s="355">
        <f t="shared" si="34"/>
        <v>139168.99</v>
      </c>
      <c r="H33" s="337">
        <f t="shared" si="35"/>
        <v>139168.99</v>
      </c>
      <c r="I33" s="52">
        <f t="shared" si="6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870670.81444394542</v>
      </c>
      <c r="E34" s="354">
        <f>IF(+I14&lt;F33,I14,D34)</f>
        <v>36949.99</v>
      </c>
      <c r="F34" s="55">
        <f t="shared" si="33"/>
        <v>833720.82444394543</v>
      </c>
      <c r="G34" s="355">
        <f t="shared" si="34"/>
        <v>134830.99</v>
      </c>
      <c r="H34" s="337">
        <f t="shared" si="35"/>
        <v>134830.99</v>
      </c>
      <c r="I34" s="52">
        <f t="shared" si="6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833720.82444394543</v>
      </c>
      <c r="E35" s="354">
        <f>IF(+I14&lt;F34,I14,D35)</f>
        <v>36949.99</v>
      </c>
      <c r="F35" s="55">
        <f t="shared" si="33"/>
        <v>796770.83444394544</v>
      </c>
      <c r="G35" s="355">
        <f t="shared" si="34"/>
        <v>130492.98999999999</v>
      </c>
      <c r="H35" s="337">
        <f t="shared" si="35"/>
        <v>130492.98999999999</v>
      </c>
      <c r="I35" s="52">
        <f t="shared" si="6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796770.83444394544</v>
      </c>
      <c r="E36" s="354">
        <f>IF(+I14&lt;F35,I14,D36)</f>
        <v>36949.99</v>
      </c>
      <c r="F36" s="55">
        <f t="shared" si="33"/>
        <v>759820.84444394545</v>
      </c>
      <c r="G36" s="355">
        <f t="shared" si="34"/>
        <v>126154.98999999999</v>
      </c>
      <c r="H36" s="337">
        <f t="shared" si="35"/>
        <v>126154.98999999999</v>
      </c>
      <c r="I36" s="52">
        <f t="shared" si="6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759820.84444394545</v>
      </c>
      <c r="E37" s="354">
        <f>IF(+I14&lt;F36,I14,D37)</f>
        <v>36949.99</v>
      </c>
      <c r="F37" s="55">
        <f t="shared" si="33"/>
        <v>722870.85444394546</v>
      </c>
      <c r="G37" s="355">
        <f t="shared" si="34"/>
        <v>121816.98999999999</v>
      </c>
      <c r="H37" s="337">
        <f t="shared" si="35"/>
        <v>121816.98999999999</v>
      </c>
      <c r="I37" s="52">
        <f t="shared" si="6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722870.85444394546</v>
      </c>
      <c r="E38" s="354">
        <f>IF(+I14&lt;F37,I14,D38)</f>
        <v>36949.99</v>
      </c>
      <c r="F38" s="55">
        <f t="shared" si="33"/>
        <v>685920.86444394547</v>
      </c>
      <c r="G38" s="355">
        <f t="shared" si="34"/>
        <v>117478.98999999999</v>
      </c>
      <c r="H38" s="337">
        <f t="shared" si="35"/>
        <v>117478.98999999999</v>
      </c>
      <c r="I38" s="52">
        <f t="shared" si="6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685920.86444394547</v>
      </c>
      <c r="E39" s="354">
        <f>IF(+I14&lt;F38,I14,D39)</f>
        <v>36949.99</v>
      </c>
      <c r="F39" s="55">
        <f t="shared" si="33"/>
        <v>648970.87444394547</v>
      </c>
      <c r="G39" s="355">
        <f t="shared" si="34"/>
        <v>113140.98999999999</v>
      </c>
      <c r="H39" s="337">
        <f t="shared" si="35"/>
        <v>113140.98999999999</v>
      </c>
      <c r="I39" s="52">
        <f t="shared" si="6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648970.87444394547</v>
      </c>
      <c r="E40" s="354">
        <f>IF(+I14&lt;F39,I14,D40)</f>
        <v>36949.99</v>
      </c>
      <c r="F40" s="55">
        <f t="shared" si="33"/>
        <v>612020.88444394548</v>
      </c>
      <c r="G40" s="355">
        <f t="shared" si="34"/>
        <v>108802.98999999999</v>
      </c>
      <c r="H40" s="337">
        <f t="shared" si="35"/>
        <v>108802.98999999999</v>
      </c>
      <c r="I40" s="52">
        <f t="shared" si="6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612020.88444394548</v>
      </c>
      <c r="E41" s="354">
        <f>IF(+I14&lt;F40,I14,D41)</f>
        <v>36949.99</v>
      </c>
      <c r="F41" s="55">
        <f t="shared" si="33"/>
        <v>575070.89444394549</v>
      </c>
      <c r="G41" s="355">
        <f t="shared" si="34"/>
        <v>104464.98999999999</v>
      </c>
      <c r="H41" s="337">
        <f t="shared" si="35"/>
        <v>104464.98999999999</v>
      </c>
      <c r="I41" s="52">
        <f t="shared" si="6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575070.89444394549</v>
      </c>
      <c r="E42" s="354">
        <f>IF(+I14&lt;F41,I14,D42)</f>
        <v>36949.99</v>
      </c>
      <c r="F42" s="55">
        <f t="shared" si="33"/>
        <v>538120.9044439455</v>
      </c>
      <c r="G42" s="355">
        <f t="shared" si="34"/>
        <v>100126.98999999999</v>
      </c>
      <c r="H42" s="337">
        <f t="shared" si="35"/>
        <v>100126.98999999999</v>
      </c>
      <c r="I42" s="52">
        <f t="shared" si="6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538120.9044439455</v>
      </c>
      <c r="E43" s="354">
        <f>IF(+I14&lt;F42,I14,D43)</f>
        <v>36949.99</v>
      </c>
      <c r="F43" s="55">
        <f t="shared" si="33"/>
        <v>501170.91444394551</v>
      </c>
      <c r="G43" s="355">
        <f t="shared" si="34"/>
        <v>95788.989999999991</v>
      </c>
      <c r="H43" s="337">
        <f t="shared" si="35"/>
        <v>95788.989999999991</v>
      </c>
      <c r="I43" s="52">
        <f t="shared" si="6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501170.91444394551</v>
      </c>
      <c r="E44" s="354">
        <f>IF(+I14&lt;F43,I14,D44)</f>
        <v>36949.99</v>
      </c>
      <c r="F44" s="55">
        <f t="shared" si="33"/>
        <v>464220.92444394552</v>
      </c>
      <c r="G44" s="355">
        <f t="shared" si="34"/>
        <v>91450.989999999991</v>
      </c>
      <c r="H44" s="337">
        <f t="shared" si="35"/>
        <v>91450.989999999991</v>
      </c>
      <c r="I44" s="52">
        <f t="shared" si="6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464220.92444394552</v>
      </c>
      <c r="E45" s="354">
        <f>IF(+I14&lt;F44,I14,D45)</f>
        <v>36949.99</v>
      </c>
      <c r="F45" s="55">
        <f t="shared" si="33"/>
        <v>427270.93444394553</v>
      </c>
      <c r="G45" s="355">
        <f t="shared" si="34"/>
        <v>87112.989999999991</v>
      </c>
      <c r="H45" s="337">
        <f t="shared" si="35"/>
        <v>87112.989999999991</v>
      </c>
      <c r="I45" s="52">
        <f t="shared" si="6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427270.93444394553</v>
      </c>
      <c r="E46" s="354">
        <f>IF(+I14&lt;F45,I14,D46)</f>
        <v>36949.99</v>
      </c>
      <c r="F46" s="55">
        <f t="shared" si="33"/>
        <v>390320.94444394554</v>
      </c>
      <c r="G46" s="355">
        <f t="shared" si="34"/>
        <v>82774.989999999991</v>
      </c>
      <c r="H46" s="337">
        <f t="shared" si="35"/>
        <v>82774.989999999991</v>
      </c>
      <c r="I46" s="52">
        <f t="shared" si="6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390320.94444394554</v>
      </c>
      <c r="E47" s="354">
        <f>IF(+I14&lt;F46,I14,D47)</f>
        <v>36949.99</v>
      </c>
      <c r="F47" s="55">
        <f t="shared" si="33"/>
        <v>353370.95444394555</v>
      </c>
      <c r="G47" s="355">
        <f t="shared" si="34"/>
        <v>78436.989999999991</v>
      </c>
      <c r="H47" s="337">
        <f t="shared" si="35"/>
        <v>78436.989999999991</v>
      </c>
      <c r="I47" s="52">
        <f t="shared" si="6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353370.95444394555</v>
      </c>
      <c r="E48" s="354">
        <f>IF(+I14&lt;F47,I14,D48)</f>
        <v>36949.99</v>
      </c>
      <c r="F48" s="55">
        <f t="shared" si="33"/>
        <v>316420.96444394556</v>
      </c>
      <c r="G48" s="355">
        <f t="shared" si="34"/>
        <v>74098.989999999991</v>
      </c>
      <c r="H48" s="337">
        <f t="shared" si="35"/>
        <v>74098.989999999991</v>
      </c>
      <c r="I48" s="52">
        <f t="shared" si="6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22" ht="12.5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316420.96444394556</v>
      </c>
      <c r="E49" s="354">
        <f>IF(+I14&lt;F48,I14,D49)</f>
        <v>36949.99</v>
      </c>
      <c r="F49" s="55">
        <f t="shared" si="33"/>
        <v>279470.97444394557</v>
      </c>
      <c r="G49" s="355">
        <f t="shared" si="34"/>
        <v>69760.989999999991</v>
      </c>
      <c r="H49" s="337">
        <f t="shared" si="35"/>
        <v>69760.989999999991</v>
      </c>
      <c r="I49" s="52">
        <f t="shared" ref="I49:I72" si="36">H49-G49</f>
        <v>0</v>
      </c>
      <c r="J49" s="52"/>
      <c r="K49" s="115"/>
      <c r="L49" s="54">
        <f t="shared" ref="L49:L72" si="37">IF(K49&lt;&gt;0,+G49-K49,0)</f>
        <v>0</v>
      </c>
      <c r="M49" s="115"/>
      <c r="N49" s="54">
        <f t="shared" ref="N49:N72" si="38">IF(M49&lt;&gt;0,+H49-M49,0)</f>
        <v>0</v>
      </c>
      <c r="O49" s="54">
        <f t="shared" ref="O49:O72" si="39">+N49-L49</f>
        <v>0</v>
      </c>
      <c r="P49" s="1"/>
    </row>
    <row r="50" spans="2:22" ht="12.5">
      <c r="B50" s="7" t="str">
        <f t="shared" ref="B50:B72" si="40">IF(D50=F49,"","IU")</f>
        <v/>
      </c>
      <c r="C50" s="50">
        <f>IF(D11="","-",+C49+1)</f>
        <v>2044</v>
      </c>
      <c r="D50" s="55">
        <f>IF(F49+SUM(E$17:E49)=D$10,F49,D$10-SUM(E$17:E49))</f>
        <v>279470.97444394557</v>
      </c>
      <c r="E50" s="354">
        <f>IF(+I14&lt;F49,I14,D50)</f>
        <v>36949.99</v>
      </c>
      <c r="F50" s="55">
        <f t="shared" ref="F50:F72" si="41">+D50-E50</f>
        <v>242520.98444394558</v>
      </c>
      <c r="G50" s="355">
        <f t="shared" ref="G50:G72" si="42">ROUND(I$12*F50,0)+E50</f>
        <v>65422.99</v>
      </c>
      <c r="H50" s="337">
        <f t="shared" ref="H50:H72" si="43">ROUND(I$13*F50,0)+E50</f>
        <v>65422.99</v>
      </c>
      <c r="I50" s="52">
        <f t="shared" si="36"/>
        <v>0</v>
      </c>
      <c r="J50" s="52"/>
      <c r="K50" s="115"/>
      <c r="L50" s="54">
        <f t="shared" si="37"/>
        <v>0</v>
      </c>
      <c r="M50" s="115"/>
      <c r="N50" s="54">
        <f t="shared" si="38"/>
        <v>0</v>
      </c>
      <c r="O50" s="54">
        <f t="shared" si="39"/>
        <v>0</v>
      </c>
      <c r="P50" s="1"/>
    </row>
    <row r="51" spans="2:22" ht="12.5">
      <c r="B51" s="7" t="str">
        <f t="shared" si="40"/>
        <v/>
      </c>
      <c r="C51" s="50">
        <f>IF(D11="","-",+C50+1)</f>
        <v>2045</v>
      </c>
      <c r="D51" s="55">
        <f>IF(F50+SUM(E$17:E50)=D$10,F50,D$10-SUM(E$17:E50))</f>
        <v>242520.98444394558</v>
      </c>
      <c r="E51" s="354">
        <f>IF(+I14&lt;F50,I14,D51)</f>
        <v>36949.99</v>
      </c>
      <c r="F51" s="55">
        <f t="shared" si="41"/>
        <v>205570.99444394559</v>
      </c>
      <c r="G51" s="355">
        <f t="shared" si="42"/>
        <v>61084.99</v>
      </c>
      <c r="H51" s="337">
        <f t="shared" si="43"/>
        <v>61084.99</v>
      </c>
      <c r="I51" s="52">
        <f t="shared" si="36"/>
        <v>0</v>
      </c>
      <c r="J51" s="52"/>
      <c r="K51" s="115"/>
      <c r="L51" s="54">
        <f t="shared" si="37"/>
        <v>0</v>
      </c>
      <c r="M51" s="115"/>
      <c r="N51" s="54">
        <f t="shared" si="38"/>
        <v>0</v>
      </c>
      <c r="O51" s="54">
        <f t="shared" si="39"/>
        <v>0</v>
      </c>
      <c r="P51" s="1"/>
      <c r="V51" t="s">
        <v>455</v>
      </c>
    </row>
    <row r="52" spans="2:22" ht="12.5">
      <c r="B52" s="7" t="str">
        <f t="shared" si="40"/>
        <v/>
      </c>
      <c r="C52" s="50">
        <f>IF(D11="","-",+C51+1)</f>
        <v>2046</v>
      </c>
      <c r="D52" s="55">
        <f>IF(F51+SUM(E$17:E51)=D$10,F51,D$10-SUM(E$17:E51))</f>
        <v>205570.99444394559</v>
      </c>
      <c r="E52" s="354">
        <f>IF(+I14&lt;F51,I14,D52)</f>
        <v>36949.99</v>
      </c>
      <c r="F52" s="55">
        <f t="shared" si="41"/>
        <v>168621.0044439456</v>
      </c>
      <c r="G52" s="355">
        <f t="shared" si="42"/>
        <v>56746.99</v>
      </c>
      <c r="H52" s="337">
        <f t="shared" si="43"/>
        <v>56746.99</v>
      </c>
      <c r="I52" s="52">
        <f t="shared" si="36"/>
        <v>0</v>
      </c>
      <c r="J52" s="52"/>
      <c r="K52" s="115"/>
      <c r="L52" s="54">
        <f t="shared" si="37"/>
        <v>0</v>
      </c>
      <c r="M52" s="115"/>
      <c r="N52" s="54">
        <f t="shared" si="38"/>
        <v>0</v>
      </c>
      <c r="O52" s="54">
        <f t="shared" si="39"/>
        <v>0</v>
      </c>
      <c r="P52" s="1"/>
    </row>
    <row r="53" spans="2:22" ht="12.5">
      <c r="B53" s="7" t="str">
        <f t="shared" si="40"/>
        <v/>
      </c>
      <c r="C53" s="50">
        <f>IF(D11="","-",+C52+1)</f>
        <v>2047</v>
      </c>
      <c r="D53" s="55">
        <f>IF(F52+SUM(E$17:E52)=D$10,F52,D$10-SUM(E$17:E52))</f>
        <v>168621.0044439456</v>
      </c>
      <c r="E53" s="354">
        <f>IF(+I14&lt;F52,I14,D53)</f>
        <v>36949.99</v>
      </c>
      <c r="F53" s="55">
        <f t="shared" si="41"/>
        <v>131671.01444394561</v>
      </c>
      <c r="G53" s="355">
        <f t="shared" si="42"/>
        <v>52408.99</v>
      </c>
      <c r="H53" s="337">
        <f t="shared" si="43"/>
        <v>52408.99</v>
      </c>
      <c r="I53" s="52">
        <f t="shared" si="36"/>
        <v>0</v>
      </c>
      <c r="J53" s="52"/>
      <c r="K53" s="115"/>
      <c r="L53" s="54">
        <f t="shared" si="37"/>
        <v>0</v>
      </c>
      <c r="M53" s="115"/>
      <c r="N53" s="54">
        <f t="shared" si="38"/>
        <v>0</v>
      </c>
      <c r="O53" s="54">
        <f t="shared" si="39"/>
        <v>0</v>
      </c>
      <c r="P53" s="1"/>
    </row>
    <row r="54" spans="2:22" ht="12.5">
      <c r="B54" s="7" t="str">
        <f t="shared" si="40"/>
        <v/>
      </c>
      <c r="C54" s="50">
        <f>IF(D11="","-",+C53+1)</f>
        <v>2048</v>
      </c>
      <c r="D54" s="55">
        <f>IF(F53+SUM(E$17:E53)=D$10,F53,D$10-SUM(E$17:E53))</f>
        <v>131671.01444394561</v>
      </c>
      <c r="E54" s="354">
        <f>IF(+I14&lt;F53,I14,D54)</f>
        <v>36949.99</v>
      </c>
      <c r="F54" s="55">
        <f t="shared" si="41"/>
        <v>94721.024443945615</v>
      </c>
      <c r="G54" s="355">
        <f t="shared" si="42"/>
        <v>48070.99</v>
      </c>
      <c r="H54" s="337">
        <f t="shared" si="43"/>
        <v>48070.99</v>
      </c>
      <c r="I54" s="52">
        <f t="shared" si="36"/>
        <v>0</v>
      </c>
      <c r="J54" s="52"/>
      <c r="K54" s="115"/>
      <c r="L54" s="54">
        <f t="shared" si="37"/>
        <v>0</v>
      </c>
      <c r="M54" s="115"/>
      <c r="N54" s="54">
        <f t="shared" si="38"/>
        <v>0</v>
      </c>
      <c r="O54" s="54">
        <f t="shared" si="39"/>
        <v>0</v>
      </c>
      <c r="P54" s="1"/>
    </row>
    <row r="55" spans="2:22" ht="12.5">
      <c r="B55" s="7" t="str">
        <f t="shared" si="40"/>
        <v/>
      </c>
      <c r="C55" s="50">
        <f>IF(D11="","-",+C54+1)</f>
        <v>2049</v>
      </c>
      <c r="D55" s="55">
        <f>IF(F54+SUM(E$17:E54)=D$10,F54,D$10-SUM(E$17:E54))</f>
        <v>94721.024443945615</v>
      </c>
      <c r="E55" s="354">
        <f>IF(+I14&lt;F54,I14,D55)</f>
        <v>36949.99</v>
      </c>
      <c r="F55" s="55">
        <f t="shared" si="41"/>
        <v>57771.034443945617</v>
      </c>
      <c r="G55" s="355">
        <f t="shared" si="42"/>
        <v>43731.99</v>
      </c>
      <c r="H55" s="337">
        <f t="shared" si="43"/>
        <v>43731.99</v>
      </c>
      <c r="I55" s="52">
        <f t="shared" si="36"/>
        <v>0</v>
      </c>
      <c r="J55" s="52"/>
      <c r="K55" s="115"/>
      <c r="L55" s="54">
        <f t="shared" si="37"/>
        <v>0</v>
      </c>
      <c r="M55" s="115"/>
      <c r="N55" s="54">
        <f t="shared" si="38"/>
        <v>0</v>
      </c>
      <c r="O55" s="54">
        <f t="shared" si="39"/>
        <v>0</v>
      </c>
      <c r="P55" s="1"/>
    </row>
    <row r="56" spans="2:22" ht="12.5">
      <c r="B56" s="7" t="str">
        <f t="shared" si="40"/>
        <v/>
      </c>
      <c r="C56" s="50">
        <f>IF(D11="","-",+C55+1)</f>
        <v>2050</v>
      </c>
      <c r="D56" s="55">
        <f>IF(F55+SUM(E$17:E55)=D$10,F55,D$10-SUM(E$17:E55))</f>
        <v>57771.034443945617</v>
      </c>
      <c r="E56" s="354">
        <f>IF(+I14&lt;F55,I14,D56)</f>
        <v>36949.99</v>
      </c>
      <c r="F56" s="55">
        <f t="shared" si="41"/>
        <v>20821.044443945619</v>
      </c>
      <c r="G56" s="355">
        <f t="shared" si="42"/>
        <v>39393.99</v>
      </c>
      <c r="H56" s="337">
        <f t="shared" si="43"/>
        <v>39393.99</v>
      </c>
      <c r="I56" s="52">
        <f t="shared" si="36"/>
        <v>0</v>
      </c>
      <c r="J56" s="52"/>
      <c r="K56" s="115"/>
      <c r="L56" s="54">
        <f t="shared" si="37"/>
        <v>0</v>
      </c>
      <c r="M56" s="115"/>
      <c r="N56" s="54">
        <f t="shared" si="38"/>
        <v>0</v>
      </c>
      <c r="O56" s="54">
        <f t="shared" si="39"/>
        <v>0</v>
      </c>
      <c r="P56" s="1"/>
    </row>
    <row r="57" spans="2:22" ht="12.5">
      <c r="B57" s="7" t="str">
        <f t="shared" si="40"/>
        <v/>
      </c>
      <c r="C57" s="50">
        <f>IF(D11="","-",+C56+1)</f>
        <v>2051</v>
      </c>
      <c r="D57" s="55">
        <f>IF(F56+SUM(E$17:E56)=D$10,F56,D$10-SUM(E$17:E56))</f>
        <v>20821.044443945619</v>
      </c>
      <c r="E57" s="354">
        <f>IF(+I14&lt;F56,I14,D57)</f>
        <v>20821.044443945619</v>
      </c>
      <c r="F57" s="55">
        <f t="shared" si="41"/>
        <v>0</v>
      </c>
      <c r="G57" s="355">
        <f t="shared" si="42"/>
        <v>20821.044443945619</v>
      </c>
      <c r="H57" s="337">
        <f t="shared" si="43"/>
        <v>20821.044443945619</v>
      </c>
      <c r="I57" s="52">
        <f t="shared" si="36"/>
        <v>0</v>
      </c>
      <c r="J57" s="52"/>
      <c r="K57" s="115"/>
      <c r="L57" s="54">
        <f t="shared" si="37"/>
        <v>0</v>
      </c>
      <c r="M57" s="115"/>
      <c r="N57" s="54">
        <f t="shared" si="38"/>
        <v>0</v>
      </c>
      <c r="O57" s="54">
        <f t="shared" si="39"/>
        <v>0</v>
      </c>
      <c r="P57" s="1"/>
    </row>
    <row r="58" spans="2:22" ht="12.5">
      <c r="B58" s="7" t="str">
        <f t="shared" si="40"/>
        <v/>
      </c>
      <c r="C58" s="50">
        <f>IF(D11="","-",+C57+1)</f>
        <v>2052</v>
      </c>
      <c r="D58" s="55">
        <f>IF(F57+SUM(E$17:E57)=D$10,F57,D$10-SUM(E$17:E57))</f>
        <v>0</v>
      </c>
      <c r="E58" s="354">
        <f>IF(+I14&lt;F57,I14,D58)</f>
        <v>0</v>
      </c>
      <c r="F58" s="55">
        <f t="shared" si="41"/>
        <v>0</v>
      </c>
      <c r="G58" s="355">
        <f t="shared" si="42"/>
        <v>0</v>
      </c>
      <c r="H58" s="337">
        <f t="shared" si="43"/>
        <v>0</v>
      </c>
      <c r="I58" s="52">
        <f t="shared" si="36"/>
        <v>0</v>
      </c>
      <c r="J58" s="52"/>
      <c r="K58" s="115"/>
      <c r="L58" s="54">
        <f t="shared" si="37"/>
        <v>0</v>
      </c>
      <c r="M58" s="115"/>
      <c r="N58" s="54">
        <f t="shared" si="38"/>
        <v>0</v>
      </c>
      <c r="O58" s="54">
        <f t="shared" si="39"/>
        <v>0</v>
      </c>
      <c r="P58" s="1"/>
    </row>
    <row r="59" spans="2:22" ht="12.5">
      <c r="B59" s="7" t="str">
        <f t="shared" si="40"/>
        <v/>
      </c>
      <c r="C59" s="50">
        <f>IF(D11="","-",+C58+1)</f>
        <v>2053</v>
      </c>
      <c r="D59" s="55">
        <f>IF(F58+SUM(E$17:E58)=D$10,F58,D$10-SUM(E$17:E58))</f>
        <v>0</v>
      </c>
      <c r="E59" s="354">
        <f>IF(+I14&lt;F58,I14,D59)</f>
        <v>0</v>
      </c>
      <c r="F59" s="55">
        <f t="shared" si="41"/>
        <v>0</v>
      </c>
      <c r="G59" s="355">
        <f t="shared" si="42"/>
        <v>0</v>
      </c>
      <c r="H59" s="337">
        <f t="shared" si="43"/>
        <v>0</v>
      </c>
      <c r="I59" s="52">
        <f t="shared" si="36"/>
        <v>0</v>
      </c>
      <c r="J59" s="52"/>
      <c r="K59" s="115"/>
      <c r="L59" s="54">
        <f t="shared" si="37"/>
        <v>0</v>
      </c>
      <c r="M59" s="115"/>
      <c r="N59" s="54">
        <f t="shared" si="38"/>
        <v>0</v>
      </c>
      <c r="O59" s="54">
        <f t="shared" si="39"/>
        <v>0</v>
      </c>
      <c r="P59" s="1"/>
    </row>
    <row r="60" spans="2:22" ht="12.5">
      <c r="B60" s="7" t="str">
        <f t="shared" si="40"/>
        <v/>
      </c>
      <c r="C60" s="50">
        <f>IF(D11="","-",+C59+1)</f>
        <v>2054</v>
      </c>
      <c r="D60" s="55">
        <f>IF(F59+SUM(E$17:E59)=D$10,F59,D$10-SUM(E$17:E59))</f>
        <v>0</v>
      </c>
      <c r="E60" s="354">
        <f>IF(+I14&lt;F59,I14,D60)</f>
        <v>0</v>
      </c>
      <c r="F60" s="55">
        <f t="shared" si="41"/>
        <v>0</v>
      </c>
      <c r="G60" s="355">
        <f t="shared" si="42"/>
        <v>0</v>
      </c>
      <c r="H60" s="337">
        <f t="shared" si="43"/>
        <v>0</v>
      </c>
      <c r="I60" s="52">
        <f t="shared" si="36"/>
        <v>0</v>
      </c>
      <c r="J60" s="52"/>
      <c r="K60" s="115"/>
      <c r="L60" s="54">
        <f t="shared" si="37"/>
        <v>0</v>
      </c>
      <c r="M60" s="115"/>
      <c r="N60" s="54">
        <f t="shared" si="38"/>
        <v>0</v>
      </c>
      <c r="O60" s="54">
        <f t="shared" si="39"/>
        <v>0</v>
      </c>
      <c r="P60" s="1"/>
    </row>
    <row r="61" spans="2:22" ht="12.5">
      <c r="B61" s="7" t="str">
        <f t="shared" si="40"/>
        <v/>
      </c>
      <c r="C61" s="50">
        <f>IF(D11="","-",+C60+1)</f>
        <v>2055</v>
      </c>
      <c r="D61" s="55">
        <f>IF(F60+SUM(E$17:E60)=D$10,F60,D$10-SUM(E$17:E60))</f>
        <v>0</v>
      </c>
      <c r="E61" s="354">
        <f>IF(+I14&lt;F60,I14,D61)</f>
        <v>0</v>
      </c>
      <c r="F61" s="55">
        <f t="shared" si="41"/>
        <v>0</v>
      </c>
      <c r="G61" s="356">
        <f t="shared" si="42"/>
        <v>0</v>
      </c>
      <c r="H61" s="337">
        <f t="shared" si="43"/>
        <v>0</v>
      </c>
      <c r="I61" s="52">
        <f t="shared" si="36"/>
        <v>0</v>
      </c>
      <c r="J61" s="52"/>
      <c r="K61" s="115"/>
      <c r="L61" s="54">
        <f t="shared" si="37"/>
        <v>0</v>
      </c>
      <c r="M61" s="115"/>
      <c r="N61" s="54">
        <f t="shared" si="38"/>
        <v>0</v>
      </c>
      <c r="O61" s="54">
        <f t="shared" si="39"/>
        <v>0</v>
      </c>
      <c r="P61" s="1"/>
    </row>
    <row r="62" spans="2:22" ht="12.5">
      <c r="B62" s="7" t="str">
        <f t="shared" si="40"/>
        <v/>
      </c>
      <c r="C62" s="50">
        <f>IF(D11="","-",+C61+1)</f>
        <v>2056</v>
      </c>
      <c r="D62" s="55">
        <f>IF(F61+SUM(E$17:E61)=D$10,F61,D$10-SUM(E$17:E61))</f>
        <v>0</v>
      </c>
      <c r="E62" s="354">
        <f>IF(+I14&lt;F61,I14,D62)</f>
        <v>0</v>
      </c>
      <c r="F62" s="55">
        <f t="shared" si="41"/>
        <v>0</v>
      </c>
      <c r="G62" s="356">
        <f t="shared" si="42"/>
        <v>0</v>
      </c>
      <c r="H62" s="337">
        <f t="shared" si="43"/>
        <v>0</v>
      </c>
      <c r="I62" s="52">
        <f t="shared" si="36"/>
        <v>0</v>
      </c>
      <c r="J62" s="52"/>
      <c r="K62" s="115"/>
      <c r="L62" s="54">
        <f t="shared" si="37"/>
        <v>0</v>
      </c>
      <c r="M62" s="115"/>
      <c r="N62" s="54">
        <f t="shared" si="38"/>
        <v>0</v>
      </c>
      <c r="O62" s="54">
        <f t="shared" si="39"/>
        <v>0</v>
      </c>
      <c r="P62" s="1"/>
    </row>
    <row r="63" spans="2:22" ht="12.5">
      <c r="B63" s="7" t="str">
        <f t="shared" si="40"/>
        <v/>
      </c>
      <c r="C63" s="50">
        <f>IF(D11="","-",+C62+1)</f>
        <v>2057</v>
      </c>
      <c r="D63" s="55">
        <f>IF(F62+SUM(E$17:E62)=D$10,F62,D$10-SUM(E$17:E62))</f>
        <v>0</v>
      </c>
      <c r="E63" s="354">
        <f>IF(+I14&lt;F62,I14,D63)</f>
        <v>0</v>
      </c>
      <c r="F63" s="55">
        <f t="shared" si="41"/>
        <v>0</v>
      </c>
      <c r="G63" s="356">
        <f t="shared" si="42"/>
        <v>0</v>
      </c>
      <c r="H63" s="337">
        <f t="shared" si="43"/>
        <v>0</v>
      </c>
      <c r="I63" s="52">
        <f t="shared" si="36"/>
        <v>0</v>
      </c>
      <c r="J63" s="52"/>
      <c r="K63" s="115"/>
      <c r="L63" s="54">
        <f t="shared" si="37"/>
        <v>0</v>
      </c>
      <c r="M63" s="115"/>
      <c r="N63" s="54">
        <f t="shared" si="38"/>
        <v>0</v>
      </c>
      <c r="O63" s="54">
        <f t="shared" si="39"/>
        <v>0</v>
      </c>
      <c r="P63" s="1"/>
    </row>
    <row r="64" spans="2:22" ht="12.5">
      <c r="B64" s="7" t="str">
        <f t="shared" si="40"/>
        <v/>
      </c>
      <c r="C64" s="50">
        <f>IF(D11="","-",+C63+1)</f>
        <v>2058</v>
      </c>
      <c r="D64" s="55">
        <f>IF(F63+SUM(E$17:E63)=D$10,F63,D$10-SUM(E$17:E63))</f>
        <v>0</v>
      </c>
      <c r="E64" s="354">
        <f>IF(+I14&lt;F63,I14,D64)</f>
        <v>0</v>
      </c>
      <c r="F64" s="55">
        <f t="shared" si="41"/>
        <v>0</v>
      </c>
      <c r="G64" s="356">
        <f t="shared" si="42"/>
        <v>0</v>
      </c>
      <c r="H64" s="337">
        <f t="shared" si="43"/>
        <v>0</v>
      </c>
      <c r="I64" s="52">
        <f t="shared" si="36"/>
        <v>0</v>
      </c>
      <c r="J64" s="52"/>
      <c r="K64" s="115"/>
      <c r="L64" s="54">
        <f t="shared" si="37"/>
        <v>0</v>
      </c>
      <c r="M64" s="115"/>
      <c r="N64" s="54">
        <f t="shared" si="38"/>
        <v>0</v>
      </c>
      <c r="O64" s="54">
        <f t="shared" si="39"/>
        <v>0</v>
      </c>
      <c r="P64" s="1"/>
    </row>
    <row r="65" spans="2:16" ht="12.5">
      <c r="B65" s="7" t="str">
        <f t="shared" si="40"/>
        <v/>
      </c>
      <c r="C65" s="50">
        <f>IF(D11="","-",+C64+1)</f>
        <v>2059</v>
      </c>
      <c r="D65" s="55">
        <f>IF(F64+SUM(E$17:E64)=D$10,F64,D$10-SUM(E$17:E64))</f>
        <v>0</v>
      </c>
      <c r="E65" s="354">
        <f>IF(+I14&lt;F64,I14,D65)</f>
        <v>0</v>
      </c>
      <c r="F65" s="55">
        <f t="shared" si="41"/>
        <v>0</v>
      </c>
      <c r="G65" s="356">
        <f t="shared" si="42"/>
        <v>0</v>
      </c>
      <c r="H65" s="337">
        <f t="shared" si="43"/>
        <v>0</v>
      </c>
      <c r="I65" s="52">
        <f t="shared" si="36"/>
        <v>0</v>
      </c>
      <c r="J65" s="52"/>
      <c r="K65" s="115"/>
      <c r="L65" s="54">
        <f t="shared" si="37"/>
        <v>0</v>
      </c>
      <c r="M65" s="115"/>
      <c r="N65" s="54">
        <f t="shared" si="38"/>
        <v>0</v>
      </c>
      <c r="O65" s="54">
        <f t="shared" si="39"/>
        <v>0</v>
      </c>
      <c r="P65" s="1"/>
    </row>
    <row r="66" spans="2:16" ht="12.5">
      <c r="B66" s="7" t="str">
        <f t="shared" si="40"/>
        <v/>
      </c>
      <c r="C66" s="50">
        <f>IF(D11="","-",+C65+1)</f>
        <v>2060</v>
      </c>
      <c r="D66" s="55">
        <f>IF(F65+SUM(E$17:E65)=D$10,F65,D$10-SUM(E$17:E65))</f>
        <v>0</v>
      </c>
      <c r="E66" s="354">
        <f>IF(+I14&lt;F65,I14,D66)</f>
        <v>0</v>
      </c>
      <c r="F66" s="55">
        <f t="shared" si="41"/>
        <v>0</v>
      </c>
      <c r="G66" s="356">
        <f t="shared" si="42"/>
        <v>0</v>
      </c>
      <c r="H66" s="337">
        <f t="shared" si="43"/>
        <v>0</v>
      </c>
      <c r="I66" s="52">
        <f t="shared" si="36"/>
        <v>0</v>
      </c>
      <c r="J66" s="52"/>
      <c r="K66" s="115"/>
      <c r="L66" s="54">
        <f t="shared" si="37"/>
        <v>0</v>
      </c>
      <c r="M66" s="115"/>
      <c r="N66" s="54">
        <f t="shared" si="38"/>
        <v>0</v>
      </c>
      <c r="O66" s="54">
        <f t="shared" si="39"/>
        <v>0</v>
      </c>
      <c r="P66" s="1"/>
    </row>
    <row r="67" spans="2:16" ht="12.5">
      <c r="B67" s="7" t="str">
        <f t="shared" si="40"/>
        <v/>
      </c>
      <c r="C67" s="50">
        <f>IF(D11="","-",+C66+1)</f>
        <v>2061</v>
      </c>
      <c r="D67" s="55">
        <f>IF(F66+SUM(E$17:E66)=D$10,F66,D$10-SUM(E$17:E66))</f>
        <v>0</v>
      </c>
      <c r="E67" s="354">
        <f>IF(+I14&lt;F66,I14,D67)</f>
        <v>0</v>
      </c>
      <c r="F67" s="55">
        <f t="shared" si="41"/>
        <v>0</v>
      </c>
      <c r="G67" s="356">
        <f t="shared" si="42"/>
        <v>0</v>
      </c>
      <c r="H67" s="337">
        <f t="shared" si="43"/>
        <v>0</v>
      </c>
      <c r="I67" s="52">
        <f t="shared" si="36"/>
        <v>0</v>
      </c>
      <c r="J67" s="52"/>
      <c r="K67" s="115"/>
      <c r="L67" s="54">
        <f t="shared" si="37"/>
        <v>0</v>
      </c>
      <c r="M67" s="115"/>
      <c r="N67" s="54">
        <f t="shared" si="38"/>
        <v>0</v>
      </c>
      <c r="O67" s="54">
        <f t="shared" si="39"/>
        <v>0</v>
      </c>
      <c r="P67" s="1"/>
    </row>
    <row r="68" spans="2:16" ht="12.5">
      <c r="B68" s="7" t="str">
        <f t="shared" si="40"/>
        <v/>
      </c>
      <c r="C68" s="50">
        <f>IF(D11="","-",+C67+1)</f>
        <v>2062</v>
      </c>
      <c r="D68" s="55">
        <f>IF(F67+SUM(E$17:E67)=D$10,F67,D$10-SUM(E$17:E67))</f>
        <v>0</v>
      </c>
      <c r="E68" s="354">
        <f>IF(+I14&lt;F67,I14,D68)</f>
        <v>0</v>
      </c>
      <c r="F68" s="55">
        <f t="shared" si="41"/>
        <v>0</v>
      </c>
      <c r="G68" s="356">
        <f t="shared" si="42"/>
        <v>0</v>
      </c>
      <c r="H68" s="337">
        <f t="shared" si="43"/>
        <v>0</v>
      </c>
      <c r="I68" s="52">
        <f t="shared" si="36"/>
        <v>0</v>
      </c>
      <c r="J68" s="52"/>
      <c r="K68" s="115"/>
      <c r="L68" s="54">
        <f t="shared" si="37"/>
        <v>0</v>
      </c>
      <c r="M68" s="115"/>
      <c r="N68" s="54">
        <f t="shared" si="38"/>
        <v>0</v>
      </c>
      <c r="O68" s="54">
        <f t="shared" si="39"/>
        <v>0</v>
      </c>
      <c r="P68" s="1"/>
    </row>
    <row r="69" spans="2:16" ht="12.5">
      <c r="B69" s="7" t="str">
        <f t="shared" si="40"/>
        <v/>
      </c>
      <c r="C69" s="50">
        <f>IF(D11="","-",+C68+1)</f>
        <v>2063</v>
      </c>
      <c r="D69" s="55">
        <f>IF(F68+SUM(E$17:E68)=D$10,F68,D$10-SUM(E$17:E68))</f>
        <v>0</v>
      </c>
      <c r="E69" s="354">
        <f>IF(+I14&lt;F68,I14,D69)</f>
        <v>0</v>
      </c>
      <c r="F69" s="55">
        <f t="shared" si="41"/>
        <v>0</v>
      </c>
      <c r="G69" s="356">
        <f t="shared" si="42"/>
        <v>0</v>
      </c>
      <c r="H69" s="337">
        <f t="shared" si="43"/>
        <v>0</v>
      </c>
      <c r="I69" s="52">
        <f t="shared" si="36"/>
        <v>0</v>
      </c>
      <c r="J69" s="52"/>
      <c r="K69" s="115"/>
      <c r="L69" s="54">
        <f t="shared" si="37"/>
        <v>0</v>
      </c>
      <c r="M69" s="115"/>
      <c r="N69" s="54">
        <f t="shared" si="38"/>
        <v>0</v>
      </c>
      <c r="O69" s="54">
        <f t="shared" si="39"/>
        <v>0</v>
      </c>
      <c r="P69" s="1"/>
    </row>
    <row r="70" spans="2:16" ht="12.5">
      <c r="B70" s="7" t="str">
        <f t="shared" si="40"/>
        <v/>
      </c>
      <c r="C70" s="50">
        <f>IF(D11="","-",+C69+1)</f>
        <v>2064</v>
      </c>
      <c r="D70" s="55">
        <f>IF(F69+SUM(E$17:E69)=D$10,F69,D$10-SUM(E$17:E69))</f>
        <v>0</v>
      </c>
      <c r="E70" s="354">
        <f>IF(+I14&lt;F69,I14,D70)</f>
        <v>0</v>
      </c>
      <c r="F70" s="55">
        <f t="shared" si="41"/>
        <v>0</v>
      </c>
      <c r="G70" s="356">
        <f t="shared" si="42"/>
        <v>0</v>
      </c>
      <c r="H70" s="337">
        <f t="shared" si="43"/>
        <v>0</v>
      </c>
      <c r="I70" s="52">
        <f t="shared" si="36"/>
        <v>0</v>
      </c>
      <c r="J70" s="52"/>
      <c r="K70" s="115"/>
      <c r="L70" s="54">
        <f t="shared" si="37"/>
        <v>0</v>
      </c>
      <c r="M70" s="115"/>
      <c r="N70" s="54">
        <f t="shared" si="38"/>
        <v>0</v>
      </c>
      <c r="O70" s="54">
        <f t="shared" si="39"/>
        <v>0</v>
      </c>
      <c r="P70" s="1"/>
    </row>
    <row r="71" spans="2:16" ht="12.5">
      <c r="B71" s="7" t="str">
        <f t="shared" si="40"/>
        <v/>
      </c>
      <c r="C71" s="50">
        <f>IF(D11="","-",+C70+1)</f>
        <v>2065</v>
      </c>
      <c r="D71" s="55">
        <f>IF(F70+SUM(E$17:E70)=D$10,F70,D$10-SUM(E$17:E70))</f>
        <v>0</v>
      </c>
      <c r="E71" s="354">
        <f>IF(+I14&lt;F70,I14,D71)</f>
        <v>0</v>
      </c>
      <c r="F71" s="55">
        <f t="shared" si="41"/>
        <v>0</v>
      </c>
      <c r="G71" s="356">
        <f t="shared" si="42"/>
        <v>0</v>
      </c>
      <c r="H71" s="337">
        <f t="shared" si="43"/>
        <v>0</v>
      </c>
      <c r="I71" s="52">
        <f t="shared" si="36"/>
        <v>0</v>
      </c>
      <c r="J71" s="52"/>
      <c r="K71" s="115"/>
      <c r="L71" s="54">
        <f t="shared" si="37"/>
        <v>0</v>
      </c>
      <c r="M71" s="115"/>
      <c r="N71" s="54">
        <f t="shared" si="38"/>
        <v>0</v>
      </c>
      <c r="O71" s="54">
        <f t="shared" si="39"/>
        <v>0</v>
      </c>
      <c r="P71" s="1"/>
    </row>
    <row r="72" spans="2:16" ht="13" thickBot="1">
      <c r="B72" s="7" t="str">
        <f t="shared" si="40"/>
        <v/>
      </c>
      <c r="C72" s="58">
        <f>IF(D11="","-",+C71+1)</f>
        <v>2066</v>
      </c>
      <c r="D72" s="59">
        <f>IF(F71+SUM(E$17:E71)=D$10,F71,D$10-SUM(E$17:E71))</f>
        <v>0</v>
      </c>
      <c r="E72" s="357">
        <f>IF(+I14&lt;F71,I14,D72)</f>
        <v>0</v>
      </c>
      <c r="F72" s="59">
        <f t="shared" si="41"/>
        <v>0</v>
      </c>
      <c r="G72" s="358">
        <f t="shared" si="42"/>
        <v>0</v>
      </c>
      <c r="H72" s="335">
        <f t="shared" si="43"/>
        <v>0</v>
      </c>
      <c r="I72" s="61">
        <f t="shared" si="36"/>
        <v>0</v>
      </c>
      <c r="J72" s="52"/>
      <c r="K72" s="116"/>
      <c r="L72" s="62">
        <f t="shared" si="37"/>
        <v>0</v>
      </c>
      <c r="M72" s="116"/>
      <c r="N72" s="62">
        <f t="shared" si="38"/>
        <v>0</v>
      </c>
      <c r="O72" s="62">
        <f t="shared" si="39"/>
        <v>0</v>
      </c>
      <c r="P72" s="1"/>
    </row>
    <row r="73" spans="2:16" ht="12.5">
      <c r="C73" s="12" t="s">
        <v>77</v>
      </c>
      <c r="D73" s="267"/>
      <c r="E73" s="267">
        <f>SUM(E17:E72)</f>
        <v>1404099.6199999999</v>
      </c>
      <c r="F73" s="267"/>
      <c r="G73" s="267">
        <f>SUM(G17:G72)</f>
        <v>5060266.6570557859</v>
      </c>
      <c r="H73" s="267">
        <f>SUM(H17:H72)</f>
        <v>5060266.6570557859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11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148587.99</v>
      </c>
      <c r="N87" s="364">
        <f>IF(J92&lt;D11,0,VLOOKUP(J92,C17:O72,11))</f>
        <v>148587.99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169960.26016451258</v>
      </c>
      <c r="N88" s="367">
        <f>IF(J92&lt;D11,0,VLOOKUP(J92,C99:P154,7))</f>
        <v>169960.26016451258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Bartlesville SE to Coffeyville T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21372.270164512593</v>
      </c>
      <c r="N89" s="369">
        <f>+N88-N87</f>
        <v>21372.270164512593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TP2008079-PSO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f>D10</f>
        <v>1404099.6199999999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2011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37949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2011</v>
      </c>
      <c r="D99" s="349">
        <v>0</v>
      </c>
      <c r="E99" s="352">
        <v>13815</v>
      </c>
      <c r="F99" s="400">
        <v>1422922</v>
      </c>
      <c r="G99" s="376">
        <v>711461</v>
      </c>
      <c r="H99" s="378">
        <v>113286.80836539247</v>
      </c>
      <c r="I99" s="378">
        <v>113286.80836539247</v>
      </c>
      <c r="J99" s="54">
        <f t="shared" ref="J99:J130" si="44">+I99-H99</f>
        <v>0</v>
      </c>
      <c r="K99" s="401"/>
      <c r="L99" s="394">
        <f t="shared" ref="L99:L104" si="45">H99</f>
        <v>113286.80836539247</v>
      </c>
      <c r="M99" s="402">
        <f t="shared" ref="M99:M130" si="46">IF(L99&lt;&gt;0,+H99-L99,0)</f>
        <v>0</v>
      </c>
      <c r="N99" s="394">
        <f t="shared" ref="N99:N104" si="47">I99</f>
        <v>113286.80836539247</v>
      </c>
      <c r="O99" s="53">
        <f t="shared" ref="O99:O130" si="48">IF(N99&lt;&gt;0,+I99-N99,0)</f>
        <v>0</v>
      </c>
      <c r="P99" s="63">
        <f t="shared" ref="P99:P130" si="49">+O99-M99</f>
        <v>0</v>
      </c>
    </row>
    <row r="100" spans="1:16" ht="12.5">
      <c r="B100" s="7" t="str">
        <f t="shared" ref="B100:B131" si="50">IF(D100=F99,"","IU")</f>
        <v>IU</v>
      </c>
      <c r="C100" s="50">
        <f>IF(D93="","-",+C99+1)</f>
        <v>2012</v>
      </c>
      <c r="D100" s="349">
        <v>1479908</v>
      </c>
      <c r="E100" s="352">
        <v>28725</v>
      </c>
      <c r="F100" s="400">
        <v>1451183</v>
      </c>
      <c r="G100" s="351">
        <v>1465545.5</v>
      </c>
      <c r="H100" s="378">
        <v>239551.75399863988</v>
      </c>
      <c r="I100" s="378">
        <v>239551.75399863988</v>
      </c>
      <c r="J100" s="54">
        <v>0</v>
      </c>
      <c r="K100" s="401"/>
      <c r="L100" s="379">
        <f t="shared" si="45"/>
        <v>239551.75399863988</v>
      </c>
      <c r="M100" s="402">
        <f t="shared" ref="M100:M105" si="51">IF(L100&lt;&gt;0,+H100-L100,0)</f>
        <v>0</v>
      </c>
      <c r="N100" s="379">
        <f t="shared" si="47"/>
        <v>239551.75399863988</v>
      </c>
      <c r="O100" s="54">
        <f t="shared" ref="O100:O105" si="52">IF(N100&lt;&gt;0,+I100-N100,0)</f>
        <v>0</v>
      </c>
      <c r="P100" s="63">
        <f t="shared" ref="P100:P105" si="53">+O100-M100</f>
        <v>0</v>
      </c>
    </row>
    <row r="101" spans="1:16" ht="12.5">
      <c r="B101" s="7" t="str">
        <f t="shared" si="50"/>
        <v/>
      </c>
      <c r="C101" s="50">
        <f>IF(D93="","-",+C100+1)</f>
        <v>2013</v>
      </c>
      <c r="D101" s="349">
        <v>1451183</v>
      </c>
      <c r="E101" s="352">
        <v>28725</v>
      </c>
      <c r="F101" s="400">
        <v>1422458</v>
      </c>
      <c r="G101" s="351">
        <v>1436820.5</v>
      </c>
      <c r="H101" s="378">
        <v>235540.35933406017</v>
      </c>
      <c r="I101" s="378">
        <v>235540.35933406017</v>
      </c>
      <c r="J101" s="54">
        <v>0</v>
      </c>
      <c r="K101" s="401"/>
      <c r="L101" s="379">
        <f t="shared" si="45"/>
        <v>235540.35933406017</v>
      </c>
      <c r="M101" s="402">
        <f t="shared" si="51"/>
        <v>0</v>
      </c>
      <c r="N101" s="379">
        <f t="shared" si="47"/>
        <v>235540.35933406017</v>
      </c>
      <c r="O101" s="54">
        <f t="shared" si="52"/>
        <v>0</v>
      </c>
      <c r="P101" s="63">
        <f t="shared" si="53"/>
        <v>0</v>
      </c>
    </row>
    <row r="102" spans="1:16" ht="12.5">
      <c r="B102" s="7" t="str">
        <f t="shared" si="50"/>
        <v>IU</v>
      </c>
      <c r="C102" s="50">
        <f>IF(D93="","-",+C101+1)</f>
        <v>2014</v>
      </c>
      <c r="D102" s="349">
        <v>1332834.6199999999</v>
      </c>
      <c r="E102" s="352">
        <v>27002</v>
      </c>
      <c r="F102" s="400">
        <v>1305832.6199999999</v>
      </c>
      <c r="G102" s="351">
        <v>1319333.6199999999</v>
      </c>
      <c r="H102" s="378">
        <v>212494.91385632072</v>
      </c>
      <c r="I102" s="378">
        <v>212494.91385632072</v>
      </c>
      <c r="J102" s="54">
        <v>0</v>
      </c>
      <c r="K102" s="401"/>
      <c r="L102" s="379">
        <f t="shared" si="45"/>
        <v>212494.91385632072</v>
      </c>
      <c r="M102" s="402">
        <f t="shared" si="51"/>
        <v>0</v>
      </c>
      <c r="N102" s="379">
        <f t="shared" si="47"/>
        <v>212494.91385632072</v>
      </c>
      <c r="O102" s="54">
        <f t="shared" si="52"/>
        <v>0</v>
      </c>
      <c r="P102" s="63">
        <f t="shared" si="53"/>
        <v>0</v>
      </c>
    </row>
    <row r="103" spans="1:16" ht="12.5">
      <c r="B103" s="7" t="str">
        <f t="shared" si="50"/>
        <v/>
      </c>
      <c r="C103" s="50">
        <f>IF(D93="","-",+C102+1)</f>
        <v>2015</v>
      </c>
      <c r="D103" s="349">
        <v>1305832.6199999999</v>
      </c>
      <c r="E103" s="352">
        <v>27002</v>
      </c>
      <c r="F103" s="400">
        <v>1278830.6199999999</v>
      </c>
      <c r="G103" s="351">
        <v>1292331.6199999999</v>
      </c>
      <c r="H103" s="378">
        <v>203330.25869072074</v>
      </c>
      <c r="I103" s="378">
        <v>203330.25869072074</v>
      </c>
      <c r="J103" s="54">
        <f t="shared" si="44"/>
        <v>0</v>
      </c>
      <c r="K103" s="401"/>
      <c r="L103" s="379">
        <f t="shared" si="45"/>
        <v>203330.25869072074</v>
      </c>
      <c r="M103" s="402">
        <f t="shared" si="51"/>
        <v>0</v>
      </c>
      <c r="N103" s="379">
        <f t="shared" si="47"/>
        <v>203330.25869072074</v>
      </c>
      <c r="O103" s="54">
        <f t="shared" si="52"/>
        <v>0</v>
      </c>
      <c r="P103" s="63">
        <f t="shared" si="53"/>
        <v>0</v>
      </c>
    </row>
    <row r="104" spans="1:16" ht="12.5">
      <c r="B104" s="7" t="str">
        <f t="shared" si="50"/>
        <v/>
      </c>
      <c r="C104" s="50">
        <f>IF(D93="","-",+C103+1)</f>
        <v>2016</v>
      </c>
      <c r="D104" s="349">
        <v>1278830.6199999999</v>
      </c>
      <c r="E104" s="352">
        <v>30524</v>
      </c>
      <c r="F104" s="400">
        <v>1248306.6199999999</v>
      </c>
      <c r="G104" s="351">
        <v>1263568.6199999999</v>
      </c>
      <c r="H104" s="378">
        <v>193417.89490142919</v>
      </c>
      <c r="I104" s="378">
        <v>193417.89490142919</v>
      </c>
      <c r="J104" s="54">
        <f t="shared" si="44"/>
        <v>0</v>
      </c>
      <c r="K104" s="54"/>
      <c r="L104" s="379">
        <f t="shared" si="45"/>
        <v>193417.89490142919</v>
      </c>
      <c r="M104" s="402">
        <f t="shared" si="51"/>
        <v>0</v>
      </c>
      <c r="N104" s="379">
        <f t="shared" si="47"/>
        <v>193417.89490142919</v>
      </c>
      <c r="O104" s="54">
        <f t="shared" si="52"/>
        <v>0</v>
      </c>
      <c r="P104" s="63">
        <f t="shared" si="53"/>
        <v>0</v>
      </c>
    </row>
    <row r="105" spans="1:16" ht="12.5">
      <c r="B105" s="7" t="str">
        <f t="shared" si="50"/>
        <v/>
      </c>
      <c r="C105" s="50">
        <f>IF(D93="","-",+C104+1)</f>
        <v>2017</v>
      </c>
      <c r="D105" s="349">
        <v>1248306.6199999999</v>
      </c>
      <c r="E105" s="352">
        <v>30524</v>
      </c>
      <c r="F105" s="400">
        <v>1217782.6199999999</v>
      </c>
      <c r="G105" s="351">
        <v>1233044.6199999999</v>
      </c>
      <c r="H105" s="378">
        <v>186938.81917011391</v>
      </c>
      <c r="I105" s="378">
        <v>186938.81917011391</v>
      </c>
      <c r="J105" s="54">
        <f t="shared" si="44"/>
        <v>0</v>
      </c>
      <c r="K105" s="54"/>
      <c r="L105" s="379">
        <f>H105</f>
        <v>186938.81917011391</v>
      </c>
      <c r="M105" s="402">
        <f t="shared" si="51"/>
        <v>0</v>
      </c>
      <c r="N105" s="379">
        <f>I105</f>
        <v>186938.81917011391</v>
      </c>
      <c r="O105" s="54">
        <f t="shared" si="52"/>
        <v>0</v>
      </c>
      <c r="P105" s="63">
        <f t="shared" si="53"/>
        <v>0</v>
      </c>
    </row>
    <row r="106" spans="1:16" ht="12.5">
      <c r="B106" s="7" t="str">
        <f t="shared" si="50"/>
        <v/>
      </c>
      <c r="C106" s="50">
        <f>IF(D93="","-",+C105+1)</f>
        <v>2018</v>
      </c>
      <c r="D106" s="349">
        <v>1217782.6199999999</v>
      </c>
      <c r="E106" s="352">
        <v>32653</v>
      </c>
      <c r="F106" s="400">
        <v>1185129.6199999999</v>
      </c>
      <c r="G106" s="351">
        <v>1201456.1199999999</v>
      </c>
      <c r="H106" s="378">
        <v>156085.27550586959</v>
      </c>
      <c r="I106" s="378">
        <v>156085.27550586959</v>
      </c>
      <c r="J106" s="54">
        <f t="shared" si="44"/>
        <v>0</v>
      </c>
      <c r="K106" s="54"/>
      <c r="L106" s="379">
        <f>H106</f>
        <v>156085.27550586959</v>
      </c>
      <c r="M106" s="402">
        <f t="shared" ref="M106" si="54">IF(L106&lt;&gt;0,+H106-L106,0)</f>
        <v>0</v>
      </c>
      <c r="N106" s="379">
        <f>I106</f>
        <v>156085.27550586959</v>
      </c>
      <c r="O106" s="54">
        <f t="shared" ref="O106" si="55">IF(N106&lt;&gt;0,+I106-N106,0)</f>
        <v>0</v>
      </c>
      <c r="P106" s="63">
        <f t="shared" ref="P106" si="56">+O106-M106</f>
        <v>0</v>
      </c>
    </row>
    <row r="107" spans="1:16" ht="12.5">
      <c r="B107" s="7" t="str">
        <f t="shared" si="50"/>
        <v/>
      </c>
      <c r="C107" s="50">
        <f>IF(D93="","-",+C106+1)</f>
        <v>2019</v>
      </c>
      <c r="D107" s="349">
        <v>1185129.6199999999</v>
      </c>
      <c r="E107" s="352">
        <v>34246</v>
      </c>
      <c r="F107" s="400">
        <v>1150883.6199999999</v>
      </c>
      <c r="G107" s="351">
        <v>1168006.6199999999</v>
      </c>
      <c r="H107" s="378">
        <v>154683.86507702887</v>
      </c>
      <c r="I107" s="378">
        <v>154683.86507702887</v>
      </c>
      <c r="J107" s="54">
        <f t="shared" si="44"/>
        <v>0</v>
      </c>
      <c r="K107" s="54"/>
      <c r="L107" s="379">
        <f>H107</f>
        <v>154683.86507702887</v>
      </c>
      <c r="M107" s="402">
        <f t="shared" ref="M107:M108" si="57">IF(L107&lt;&gt;0,+H107-L107,0)</f>
        <v>0</v>
      </c>
      <c r="N107" s="379">
        <f>I107</f>
        <v>154683.86507702887</v>
      </c>
      <c r="O107" s="54">
        <f t="shared" si="48"/>
        <v>0</v>
      </c>
      <c r="P107" s="52">
        <f t="shared" si="49"/>
        <v>0</v>
      </c>
    </row>
    <row r="108" spans="1:16" ht="12.5">
      <c r="B108" s="7" t="str">
        <f t="shared" si="50"/>
        <v/>
      </c>
      <c r="C108" s="50">
        <f>IF(D93="","-",+C107+1)</f>
        <v>2020</v>
      </c>
      <c r="D108" s="349">
        <v>1150883.6199999999</v>
      </c>
      <c r="E108" s="352">
        <v>32653</v>
      </c>
      <c r="F108" s="400">
        <v>1118230.6199999999</v>
      </c>
      <c r="G108" s="351">
        <v>1134557.1199999999</v>
      </c>
      <c r="H108" s="378">
        <v>163464.31672839285</v>
      </c>
      <c r="I108" s="378">
        <v>163464.31672839285</v>
      </c>
      <c r="J108" s="54">
        <f t="shared" si="44"/>
        <v>0</v>
      </c>
      <c r="K108" s="54"/>
      <c r="L108" s="379">
        <f>H108</f>
        <v>163464.31672839285</v>
      </c>
      <c r="M108" s="402">
        <f t="shared" si="57"/>
        <v>0</v>
      </c>
      <c r="N108" s="379">
        <f>I108</f>
        <v>163464.31672839285</v>
      </c>
      <c r="O108" s="54">
        <f t="shared" si="48"/>
        <v>0</v>
      </c>
      <c r="P108" s="52">
        <f t="shared" si="49"/>
        <v>0</v>
      </c>
    </row>
    <row r="109" spans="1:16" ht="12.5">
      <c r="B109" s="7" t="str">
        <f t="shared" si="50"/>
        <v/>
      </c>
      <c r="C109" s="50">
        <f>IF(D93="","-",+C108+1)</f>
        <v>2021</v>
      </c>
      <c r="D109" s="349">
        <v>1118230.6199999999</v>
      </c>
      <c r="E109" s="352">
        <v>34246</v>
      </c>
      <c r="F109" s="400">
        <v>1083984.6199999999</v>
      </c>
      <c r="G109" s="351">
        <v>1101107.6199999999</v>
      </c>
      <c r="H109" s="378">
        <v>159544.11150802768</v>
      </c>
      <c r="I109" s="378">
        <v>159544.11150802768</v>
      </c>
      <c r="J109" s="54">
        <f t="shared" si="44"/>
        <v>0</v>
      </c>
      <c r="K109" s="54"/>
      <c r="L109" s="379">
        <f>H109</f>
        <v>159544.11150802768</v>
      </c>
      <c r="M109" s="402">
        <f t="shared" ref="M109" si="58">IF(L109&lt;&gt;0,+H109-L109,0)</f>
        <v>0</v>
      </c>
      <c r="N109" s="379">
        <f>I109</f>
        <v>159544.11150802768</v>
      </c>
      <c r="O109" s="54">
        <f t="shared" ref="O109" si="59">IF(N109&lt;&gt;0,+I109-N109,0)</f>
        <v>0</v>
      </c>
      <c r="P109" s="52">
        <f t="shared" ref="P109" si="60">+O109-M109</f>
        <v>0</v>
      </c>
    </row>
    <row r="110" spans="1:16" ht="12.5">
      <c r="B110" s="7" t="str">
        <f t="shared" si="50"/>
        <v>IU</v>
      </c>
      <c r="C110" s="450">
        <f>IF(D93="","-",+C109+1)</f>
        <v>2022</v>
      </c>
      <c r="D110" s="349">
        <v>1173608</v>
      </c>
      <c r="E110" s="352">
        <v>38301</v>
      </c>
      <c r="F110" s="400">
        <v>1135307</v>
      </c>
      <c r="G110" s="351">
        <v>1154457.5</v>
      </c>
      <c r="H110" s="378">
        <v>165502.18998219044</v>
      </c>
      <c r="I110" s="378">
        <v>165502.18998219044</v>
      </c>
      <c r="J110" s="54">
        <f t="shared" si="44"/>
        <v>0</v>
      </c>
      <c r="K110" s="54"/>
      <c r="L110" s="379">
        <f t="shared" ref="L110:L111" si="61">H110</f>
        <v>165502.18998219044</v>
      </c>
      <c r="M110" s="402">
        <f t="shared" ref="M110:M111" si="62">IF(L110&lt;&gt;0,+H110-L110,0)</f>
        <v>0</v>
      </c>
      <c r="N110" s="379">
        <f t="shared" ref="N110:N111" si="63">I110</f>
        <v>165502.18998219044</v>
      </c>
      <c r="O110" s="54">
        <f t="shared" ref="O110:O111" si="64">IF(N110&lt;&gt;0,+I110-N110,0)</f>
        <v>0</v>
      </c>
      <c r="P110" s="52">
        <f t="shared" ref="P110:P111" si="65">+O110-M110</f>
        <v>0</v>
      </c>
    </row>
    <row r="111" spans="1:16" ht="12.5">
      <c r="B111" s="7" t="str">
        <f t="shared" si="50"/>
        <v>IU</v>
      </c>
      <c r="C111" s="50">
        <f>IF(D93="","-",+C110+1)</f>
        <v>2023</v>
      </c>
      <c r="D111" s="349">
        <v>1045683.6199999999</v>
      </c>
      <c r="E111" s="352">
        <v>36950</v>
      </c>
      <c r="F111" s="400">
        <v>1008733.6199999999</v>
      </c>
      <c r="G111" s="351">
        <v>1027208.6199999999</v>
      </c>
      <c r="H111" s="378">
        <v>154285.01353576343</v>
      </c>
      <c r="I111" s="378">
        <v>154285.01353576343</v>
      </c>
      <c r="J111" s="54">
        <f t="shared" si="44"/>
        <v>0</v>
      </c>
      <c r="K111" s="54"/>
      <c r="L111" s="379">
        <f t="shared" si="61"/>
        <v>154285.01353576343</v>
      </c>
      <c r="M111" s="402">
        <f t="shared" si="62"/>
        <v>0</v>
      </c>
      <c r="N111" s="379">
        <f t="shared" si="63"/>
        <v>154285.01353576343</v>
      </c>
      <c r="O111" s="54">
        <f t="shared" si="64"/>
        <v>0</v>
      </c>
      <c r="P111" s="52">
        <f t="shared" si="65"/>
        <v>0</v>
      </c>
    </row>
    <row r="112" spans="1:16" ht="12.5">
      <c r="B112" s="7" t="str">
        <f t="shared" si="50"/>
        <v/>
      </c>
      <c r="C112" s="50">
        <f>IF(D93="","-",+C111+1)</f>
        <v>2024</v>
      </c>
      <c r="D112" s="349">
        <v>1008733.6199999999</v>
      </c>
      <c r="E112" s="352">
        <v>36950</v>
      </c>
      <c r="F112" s="400">
        <v>971783.61999999988</v>
      </c>
      <c r="G112" s="351">
        <v>990258.61999999988</v>
      </c>
      <c r="H112" s="378">
        <v>169960.26016451258</v>
      </c>
      <c r="I112" s="378">
        <v>169960.26016451258</v>
      </c>
      <c r="J112" s="54">
        <f t="shared" si="44"/>
        <v>0</v>
      </c>
      <c r="K112" s="54"/>
      <c r="L112" s="379">
        <f t="shared" ref="L112" si="66">H112</f>
        <v>169960.26016451258</v>
      </c>
      <c r="M112" s="402">
        <f t="shared" ref="M112" si="67">IF(L112&lt;&gt;0,+H112-L112,0)</f>
        <v>0</v>
      </c>
      <c r="N112" s="379">
        <f t="shared" ref="N112" si="68">I112</f>
        <v>169960.26016451258</v>
      </c>
      <c r="O112" s="54">
        <f t="shared" ref="O112" si="69">IF(N112&lt;&gt;0,+I112-N112,0)</f>
        <v>0</v>
      </c>
      <c r="P112" s="52">
        <f t="shared" ref="P112" si="70">+O112-M112</f>
        <v>0</v>
      </c>
    </row>
    <row r="113" spans="2:16" ht="12.5">
      <c r="B113" s="7" t="str">
        <f t="shared" si="50"/>
        <v/>
      </c>
      <c r="C113" s="50">
        <f>IF(D93="","-",+C112+1)</f>
        <v>2025</v>
      </c>
      <c r="D113" s="12">
        <f>IF(F112+SUM(E$99:E112)=D$92,F112,D$92-SUM(E$99:E112))</f>
        <v>971783.61999999988</v>
      </c>
      <c r="E113" s="355">
        <f>IF(+J96&lt;F112,J96,D113)</f>
        <v>37949</v>
      </c>
      <c r="F113" s="55">
        <f t="shared" ref="F113:F130" si="71">+D113-E113</f>
        <v>933834.61999999988</v>
      </c>
      <c r="G113" s="55">
        <f t="shared" ref="G113:G130" si="72">+(F113+D113)/2</f>
        <v>952809.11999999988</v>
      </c>
      <c r="H113" s="356">
        <f t="shared" ref="H113:H130" si="73">+J$94*G113+E113</f>
        <v>165929.09164345398</v>
      </c>
      <c r="I113" s="381">
        <f t="shared" ref="I113:I130" si="74">+J$95*G113+E113</f>
        <v>165929.09164345398</v>
      </c>
      <c r="J113" s="54">
        <f t="shared" si="44"/>
        <v>0</v>
      </c>
      <c r="K113" s="54"/>
      <c r="L113" s="115"/>
      <c r="M113" s="54">
        <f t="shared" si="46"/>
        <v>0</v>
      </c>
      <c r="N113" s="115"/>
      <c r="O113" s="54">
        <f t="shared" si="48"/>
        <v>0</v>
      </c>
      <c r="P113" s="54">
        <f t="shared" si="49"/>
        <v>0</v>
      </c>
    </row>
    <row r="114" spans="2:16" ht="12.5">
      <c r="B114" s="7" t="str">
        <f t="shared" si="50"/>
        <v/>
      </c>
      <c r="C114" s="50">
        <f>IF(D93="","-",+C113+1)</f>
        <v>2026</v>
      </c>
      <c r="D114" s="12">
        <f>IF(F113+SUM(E$99:E113)=D$92,F113,D$92-SUM(E$99:E113))</f>
        <v>933834.61999999988</v>
      </c>
      <c r="E114" s="355">
        <f>IF(+J96&lt;F113,J96,D114)</f>
        <v>37949</v>
      </c>
      <c r="F114" s="55">
        <f t="shared" si="71"/>
        <v>895885.61999999988</v>
      </c>
      <c r="G114" s="55">
        <f t="shared" si="72"/>
        <v>914860.11999999988</v>
      </c>
      <c r="H114" s="356">
        <f t="shared" si="73"/>
        <v>160831.83092687163</v>
      </c>
      <c r="I114" s="381">
        <f t="shared" si="74"/>
        <v>160831.83092687163</v>
      </c>
      <c r="J114" s="54">
        <f t="shared" si="44"/>
        <v>0</v>
      </c>
      <c r="K114" s="54"/>
      <c r="L114" s="115"/>
      <c r="M114" s="54">
        <f t="shared" si="46"/>
        <v>0</v>
      </c>
      <c r="N114" s="115"/>
      <c r="O114" s="54">
        <f t="shared" si="48"/>
        <v>0</v>
      </c>
      <c r="P114" s="54">
        <f t="shared" si="49"/>
        <v>0</v>
      </c>
    </row>
    <row r="115" spans="2:16" ht="12.5">
      <c r="B115" s="7" t="str">
        <f t="shared" si="50"/>
        <v/>
      </c>
      <c r="C115" s="50">
        <f>IF(D93="","-",+C114+1)</f>
        <v>2027</v>
      </c>
      <c r="D115" s="12">
        <f>IF(F114+SUM(E$99:E114)=D$92,F114,D$92-SUM(E$99:E114))</f>
        <v>895885.61999999988</v>
      </c>
      <c r="E115" s="355">
        <f>IF(+J96&lt;F114,J96,D115)</f>
        <v>37949</v>
      </c>
      <c r="F115" s="55">
        <f t="shared" si="71"/>
        <v>857936.61999999988</v>
      </c>
      <c r="G115" s="55">
        <f t="shared" si="72"/>
        <v>876911.11999999988</v>
      </c>
      <c r="H115" s="356">
        <f t="shared" si="73"/>
        <v>155734.57021028921</v>
      </c>
      <c r="I115" s="381">
        <f t="shared" si="74"/>
        <v>155734.57021028921</v>
      </c>
      <c r="J115" s="54">
        <f t="shared" si="44"/>
        <v>0</v>
      </c>
      <c r="K115" s="54"/>
      <c r="L115" s="115"/>
      <c r="M115" s="54">
        <f t="shared" si="46"/>
        <v>0</v>
      </c>
      <c r="N115" s="115"/>
      <c r="O115" s="54">
        <f t="shared" si="48"/>
        <v>0</v>
      </c>
      <c r="P115" s="54">
        <f t="shared" si="49"/>
        <v>0</v>
      </c>
    </row>
    <row r="116" spans="2:16" ht="12.5">
      <c r="B116" s="7" t="str">
        <f t="shared" si="50"/>
        <v/>
      </c>
      <c r="C116" s="50">
        <f>IF(D93="","-",+C115+1)</f>
        <v>2028</v>
      </c>
      <c r="D116" s="12">
        <f>IF(F115+SUM(E$99:E115)=D$92,F115,D$92-SUM(E$99:E115))</f>
        <v>857936.61999999988</v>
      </c>
      <c r="E116" s="355">
        <f>IF(+J96&lt;F115,J96,D116)</f>
        <v>37949</v>
      </c>
      <c r="F116" s="55">
        <f t="shared" si="71"/>
        <v>819987.61999999988</v>
      </c>
      <c r="G116" s="55">
        <f t="shared" si="72"/>
        <v>838962.11999999988</v>
      </c>
      <c r="H116" s="356">
        <f t="shared" si="73"/>
        <v>150637.30949370685</v>
      </c>
      <c r="I116" s="381">
        <f t="shared" si="74"/>
        <v>150637.30949370685</v>
      </c>
      <c r="J116" s="54">
        <f t="shared" si="44"/>
        <v>0</v>
      </c>
      <c r="K116" s="54"/>
      <c r="L116" s="115"/>
      <c r="M116" s="54">
        <f t="shared" si="46"/>
        <v>0</v>
      </c>
      <c r="N116" s="115"/>
      <c r="O116" s="54">
        <f t="shared" si="48"/>
        <v>0</v>
      </c>
      <c r="P116" s="54">
        <f t="shared" si="49"/>
        <v>0</v>
      </c>
    </row>
    <row r="117" spans="2:16" ht="12.5">
      <c r="B117" s="7" t="str">
        <f t="shared" si="50"/>
        <v/>
      </c>
      <c r="C117" s="50">
        <f>IF(D93="","-",+C116+1)</f>
        <v>2029</v>
      </c>
      <c r="D117" s="12">
        <f>IF(F116+SUM(E$99:E116)=D$92,F116,D$92-SUM(E$99:E116))</f>
        <v>819987.61999999988</v>
      </c>
      <c r="E117" s="355">
        <f>IF(+J96&lt;F116,J96,D117)</f>
        <v>37949</v>
      </c>
      <c r="F117" s="55">
        <f t="shared" si="71"/>
        <v>782038.61999999988</v>
      </c>
      <c r="G117" s="55">
        <f t="shared" si="72"/>
        <v>801013.11999999988</v>
      </c>
      <c r="H117" s="356">
        <f t="shared" si="73"/>
        <v>145540.04877712444</v>
      </c>
      <c r="I117" s="381">
        <f t="shared" si="74"/>
        <v>145540.04877712444</v>
      </c>
      <c r="J117" s="54">
        <f t="shared" si="44"/>
        <v>0</v>
      </c>
      <c r="K117" s="54"/>
      <c r="L117" s="115"/>
      <c r="M117" s="54">
        <f t="shared" si="46"/>
        <v>0</v>
      </c>
      <c r="N117" s="115"/>
      <c r="O117" s="54">
        <f t="shared" si="48"/>
        <v>0</v>
      </c>
      <c r="P117" s="54">
        <f t="shared" si="49"/>
        <v>0</v>
      </c>
    </row>
    <row r="118" spans="2:16" ht="12.5">
      <c r="B118" s="7" t="str">
        <f t="shared" si="50"/>
        <v/>
      </c>
      <c r="C118" s="50">
        <f>IF(D93="","-",+C117+1)</f>
        <v>2030</v>
      </c>
      <c r="D118" s="12">
        <f>IF(F117+SUM(E$99:E117)=D$92,F117,D$92-SUM(E$99:E117))</f>
        <v>782038.61999999988</v>
      </c>
      <c r="E118" s="355">
        <f>IF(+J96&lt;F117,J96,D118)</f>
        <v>37949</v>
      </c>
      <c r="F118" s="55">
        <f t="shared" si="71"/>
        <v>744089.61999999988</v>
      </c>
      <c r="G118" s="55">
        <f t="shared" si="72"/>
        <v>763064.11999999988</v>
      </c>
      <c r="H118" s="356">
        <f t="shared" si="73"/>
        <v>140442.78806054205</v>
      </c>
      <c r="I118" s="381">
        <f t="shared" si="74"/>
        <v>140442.78806054205</v>
      </c>
      <c r="J118" s="54">
        <f t="shared" si="44"/>
        <v>0</v>
      </c>
      <c r="K118" s="54"/>
      <c r="L118" s="115"/>
      <c r="M118" s="54">
        <f t="shared" si="46"/>
        <v>0</v>
      </c>
      <c r="N118" s="115"/>
      <c r="O118" s="54">
        <f t="shared" si="48"/>
        <v>0</v>
      </c>
      <c r="P118" s="54">
        <f t="shared" si="49"/>
        <v>0</v>
      </c>
    </row>
    <row r="119" spans="2:16" ht="12.5">
      <c r="B119" s="7" t="str">
        <f t="shared" si="50"/>
        <v/>
      </c>
      <c r="C119" s="50">
        <f>IF(D93="","-",+C118+1)</f>
        <v>2031</v>
      </c>
      <c r="D119" s="12">
        <f>IF(F118+SUM(E$99:E118)=D$92,F118,D$92-SUM(E$99:E118))</f>
        <v>744089.61999999988</v>
      </c>
      <c r="E119" s="355">
        <f>IF(+J96&lt;F118,J96,D119)</f>
        <v>37949</v>
      </c>
      <c r="F119" s="55">
        <f t="shared" si="71"/>
        <v>706140.61999999988</v>
      </c>
      <c r="G119" s="55">
        <f t="shared" si="72"/>
        <v>725115.11999999988</v>
      </c>
      <c r="H119" s="356">
        <f t="shared" si="73"/>
        <v>135345.52734395966</v>
      </c>
      <c r="I119" s="381">
        <f t="shared" si="74"/>
        <v>135345.52734395966</v>
      </c>
      <c r="J119" s="54">
        <f t="shared" si="44"/>
        <v>0</v>
      </c>
      <c r="K119" s="54"/>
      <c r="L119" s="115"/>
      <c r="M119" s="54">
        <f t="shared" si="46"/>
        <v>0</v>
      </c>
      <c r="N119" s="115"/>
      <c r="O119" s="54">
        <f t="shared" si="48"/>
        <v>0</v>
      </c>
      <c r="P119" s="54">
        <f t="shared" si="49"/>
        <v>0</v>
      </c>
    </row>
    <row r="120" spans="2:16" ht="12.5">
      <c r="B120" s="7" t="str">
        <f t="shared" si="50"/>
        <v/>
      </c>
      <c r="C120" s="50">
        <f>IF(D93="","-",+C119+1)</f>
        <v>2032</v>
      </c>
      <c r="D120" s="12">
        <f>IF(F119+SUM(E$99:E119)=D$92,F119,D$92-SUM(E$99:E119))</f>
        <v>706140.61999999988</v>
      </c>
      <c r="E120" s="355">
        <f>IF(+J96&lt;F119,J96,D120)</f>
        <v>37949</v>
      </c>
      <c r="F120" s="55">
        <f t="shared" si="71"/>
        <v>668191.61999999988</v>
      </c>
      <c r="G120" s="55">
        <f t="shared" si="72"/>
        <v>687166.11999999988</v>
      </c>
      <c r="H120" s="356">
        <f t="shared" si="73"/>
        <v>130248.26662737728</v>
      </c>
      <c r="I120" s="381">
        <f t="shared" si="74"/>
        <v>130248.26662737728</v>
      </c>
      <c r="J120" s="54">
        <f t="shared" si="44"/>
        <v>0</v>
      </c>
      <c r="K120" s="54"/>
      <c r="L120" s="115"/>
      <c r="M120" s="54">
        <f t="shared" si="46"/>
        <v>0</v>
      </c>
      <c r="N120" s="115"/>
      <c r="O120" s="54">
        <f t="shared" si="48"/>
        <v>0</v>
      </c>
      <c r="P120" s="54">
        <f t="shared" si="49"/>
        <v>0</v>
      </c>
    </row>
    <row r="121" spans="2:16" ht="12.5">
      <c r="B121" s="7" t="str">
        <f t="shared" si="50"/>
        <v/>
      </c>
      <c r="C121" s="50">
        <f>IF(D93="","-",+C120+1)</f>
        <v>2033</v>
      </c>
      <c r="D121" s="12">
        <f>IF(F120+SUM(E$99:E120)=D$92,F120,D$92-SUM(E$99:E120))</f>
        <v>668191.61999999988</v>
      </c>
      <c r="E121" s="355">
        <f>IF(+J96&lt;F120,J96,D121)</f>
        <v>37949</v>
      </c>
      <c r="F121" s="55">
        <f t="shared" si="71"/>
        <v>630242.61999999988</v>
      </c>
      <c r="G121" s="55">
        <f t="shared" si="72"/>
        <v>649217.11999999988</v>
      </c>
      <c r="H121" s="356">
        <f t="shared" si="73"/>
        <v>125151.00591079488</v>
      </c>
      <c r="I121" s="381">
        <f t="shared" si="74"/>
        <v>125151.00591079488</v>
      </c>
      <c r="J121" s="54">
        <f t="shared" si="44"/>
        <v>0</v>
      </c>
      <c r="K121" s="54"/>
      <c r="L121" s="115"/>
      <c r="M121" s="54">
        <f t="shared" si="46"/>
        <v>0</v>
      </c>
      <c r="N121" s="115"/>
      <c r="O121" s="54">
        <f t="shared" si="48"/>
        <v>0</v>
      </c>
      <c r="P121" s="54">
        <f t="shared" si="49"/>
        <v>0</v>
      </c>
    </row>
    <row r="122" spans="2:16" ht="12.5">
      <c r="B122" s="7" t="str">
        <f t="shared" si="50"/>
        <v/>
      </c>
      <c r="C122" s="50">
        <f>IF(D93="","-",+C121+1)</f>
        <v>2034</v>
      </c>
      <c r="D122" s="12">
        <f>IF(F121+SUM(E$99:E121)=D$92,F121,D$92-SUM(E$99:E121))</f>
        <v>630242.61999999988</v>
      </c>
      <c r="E122" s="355">
        <f>IF(+J96&lt;F121,J96,D122)</f>
        <v>37949</v>
      </c>
      <c r="F122" s="55">
        <f t="shared" si="71"/>
        <v>592293.61999999988</v>
      </c>
      <c r="G122" s="55">
        <f t="shared" si="72"/>
        <v>611268.11999999988</v>
      </c>
      <c r="H122" s="356">
        <f t="shared" si="73"/>
        <v>120053.74519421249</v>
      </c>
      <c r="I122" s="381">
        <f t="shared" si="74"/>
        <v>120053.74519421249</v>
      </c>
      <c r="J122" s="54">
        <f t="shared" si="44"/>
        <v>0</v>
      </c>
      <c r="K122" s="54"/>
      <c r="L122" s="115"/>
      <c r="M122" s="54">
        <f t="shared" si="46"/>
        <v>0</v>
      </c>
      <c r="N122" s="115"/>
      <c r="O122" s="54">
        <f t="shared" si="48"/>
        <v>0</v>
      </c>
      <c r="P122" s="54">
        <f t="shared" si="49"/>
        <v>0</v>
      </c>
    </row>
    <row r="123" spans="2:16" ht="12.5">
      <c r="B123" s="7" t="str">
        <f t="shared" si="50"/>
        <v/>
      </c>
      <c r="C123" s="50">
        <f>IF(D93="","-",+C122+1)</f>
        <v>2035</v>
      </c>
      <c r="D123" s="12">
        <f>IF(F122+SUM(E$99:E122)=D$92,F122,D$92-SUM(E$99:E122))</f>
        <v>592293.61999999988</v>
      </c>
      <c r="E123" s="355">
        <f>IF(+J96&lt;F122,J96,D123)</f>
        <v>37949</v>
      </c>
      <c r="F123" s="55">
        <f t="shared" si="71"/>
        <v>554344.61999999988</v>
      </c>
      <c r="G123" s="55">
        <f t="shared" si="72"/>
        <v>573319.11999999988</v>
      </c>
      <c r="H123" s="356">
        <f t="shared" si="73"/>
        <v>114956.4844776301</v>
      </c>
      <c r="I123" s="381">
        <f t="shared" si="74"/>
        <v>114956.4844776301</v>
      </c>
      <c r="J123" s="54">
        <f t="shared" si="44"/>
        <v>0</v>
      </c>
      <c r="K123" s="54"/>
      <c r="L123" s="115"/>
      <c r="M123" s="54">
        <f t="shared" si="46"/>
        <v>0</v>
      </c>
      <c r="N123" s="115"/>
      <c r="O123" s="54">
        <f t="shared" si="48"/>
        <v>0</v>
      </c>
      <c r="P123" s="54">
        <f t="shared" si="49"/>
        <v>0</v>
      </c>
    </row>
    <row r="124" spans="2:16" ht="12.5">
      <c r="B124" s="7" t="str">
        <f t="shared" si="50"/>
        <v/>
      </c>
      <c r="C124" s="50">
        <f>IF(D93="","-",+C123+1)</f>
        <v>2036</v>
      </c>
      <c r="D124" s="12">
        <f>IF(F123+SUM(E$99:E123)=D$92,F123,D$92-SUM(E$99:E123))</f>
        <v>554344.61999999988</v>
      </c>
      <c r="E124" s="355">
        <f>IF(+J96&lt;F123,J96,D124)</f>
        <v>37949</v>
      </c>
      <c r="F124" s="55">
        <f t="shared" si="71"/>
        <v>516395.61999999988</v>
      </c>
      <c r="G124" s="55">
        <f t="shared" si="72"/>
        <v>535370.11999999988</v>
      </c>
      <c r="H124" s="356">
        <f t="shared" si="73"/>
        <v>109859.22376104772</v>
      </c>
      <c r="I124" s="381">
        <f t="shared" si="74"/>
        <v>109859.22376104772</v>
      </c>
      <c r="J124" s="54">
        <f t="shared" si="44"/>
        <v>0</v>
      </c>
      <c r="K124" s="54"/>
      <c r="L124" s="115"/>
      <c r="M124" s="54">
        <f t="shared" si="46"/>
        <v>0</v>
      </c>
      <c r="N124" s="115"/>
      <c r="O124" s="54">
        <f t="shared" si="48"/>
        <v>0</v>
      </c>
      <c r="P124" s="54">
        <f t="shared" si="49"/>
        <v>0</v>
      </c>
    </row>
    <row r="125" spans="2:16" ht="12.5">
      <c r="B125" s="7" t="str">
        <f t="shared" si="50"/>
        <v/>
      </c>
      <c r="C125" s="50">
        <f>IF(D93="","-",+C124+1)</f>
        <v>2037</v>
      </c>
      <c r="D125" s="12">
        <f>IF(F124+SUM(E$99:E124)=D$92,F124,D$92-SUM(E$99:E124))</f>
        <v>516395.61999999988</v>
      </c>
      <c r="E125" s="355">
        <f>IF(+J96&lt;F124,J96,D125)</f>
        <v>37949</v>
      </c>
      <c r="F125" s="55">
        <f t="shared" si="71"/>
        <v>478446.61999999988</v>
      </c>
      <c r="G125" s="55">
        <f t="shared" si="72"/>
        <v>497421.11999999988</v>
      </c>
      <c r="H125" s="356">
        <f t="shared" si="73"/>
        <v>104761.96304446532</v>
      </c>
      <c r="I125" s="381">
        <f t="shared" si="74"/>
        <v>104761.96304446532</v>
      </c>
      <c r="J125" s="54">
        <f t="shared" si="44"/>
        <v>0</v>
      </c>
      <c r="K125" s="54"/>
      <c r="L125" s="115"/>
      <c r="M125" s="54">
        <f t="shared" si="46"/>
        <v>0</v>
      </c>
      <c r="N125" s="115"/>
      <c r="O125" s="54">
        <f t="shared" si="48"/>
        <v>0</v>
      </c>
      <c r="P125" s="54">
        <f t="shared" si="49"/>
        <v>0</v>
      </c>
    </row>
    <row r="126" spans="2:16" ht="12.5">
      <c r="B126" s="7" t="str">
        <f t="shared" si="50"/>
        <v/>
      </c>
      <c r="C126" s="50">
        <f>IF(D93="","-",+C125+1)</f>
        <v>2038</v>
      </c>
      <c r="D126" s="12">
        <f>IF(F125+SUM(E$99:E125)=D$92,F125,D$92-SUM(E$99:E125))</f>
        <v>478446.61999999988</v>
      </c>
      <c r="E126" s="355">
        <f>IF(+J96&lt;F125,J96,D126)</f>
        <v>37949</v>
      </c>
      <c r="F126" s="55">
        <f t="shared" si="71"/>
        <v>440497.61999999988</v>
      </c>
      <c r="G126" s="55">
        <f t="shared" si="72"/>
        <v>459472.11999999988</v>
      </c>
      <c r="H126" s="356">
        <f t="shared" si="73"/>
        <v>99664.702327882929</v>
      </c>
      <c r="I126" s="381">
        <f t="shared" si="74"/>
        <v>99664.702327882929</v>
      </c>
      <c r="J126" s="54">
        <f t="shared" si="44"/>
        <v>0</v>
      </c>
      <c r="K126" s="54"/>
      <c r="L126" s="115"/>
      <c r="M126" s="54">
        <f t="shared" si="46"/>
        <v>0</v>
      </c>
      <c r="N126" s="115"/>
      <c r="O126" s="54">
        <f t="shared" si="48"/>
        <v>0</v>
      </c>
      <c r="P126" s="54">
        <f t="shared" si="49"/>
        <v>0</v>
      </c>
    </row>
    <row r="127" spans="2:16" ht="12.5">
      <c r="B127" s="7" t="str">
        <f t="shared" si="50"/>
        <v/>
      </c>
      <c r="C127" s="50">
        <f>IF(D93="","-",+C126+1)</f>
        <v>2039</v>
      </c>
      <c r="D127" s="12">
        <f>IF(F126+SUM(E$99:E126)=D$92,F126,D$92-SUM(E$99:E126))</f>
        <v>440497.61999999988</v>
      </c>
      <c r="E127" s="355">
        <f>IF(+J96&lt;F126,J96,D127)</f>
        <v>37949</v>
      </c>
      <c r="F127" s="55">
        <f t="shared" si="71"/>
        <v>402548.61999999988</v>
      </c>
      <c r="G127" s="55">
        <f t="shared" si="72"/>
        <v>421523.11999999988</v>
      </c>
      <c r="H127" s="356">
        <f t="shared" si="73"/>
        <v>94567.441611300543</v>
      </c>
      <c r="I127" s="381">
        <f t="shared" si="74"/>
        <v>94567.441611300543</v>
      </c>
      <c r="J127" s="54">
        <f t="shared" si="44"/>
        <v>0</v>
      </c>
      <c r="K127" s="54"/>
      <c r="L127" s="115"/>
      <c r="M127" s="54">
        <f t="shared" si="46"/>
        <v>0</v>
      </c>
      <c r="N127" s="115"/>
      <c r="O127" s="54">
        <f t="shared" si="48"/>
        <v>0</v>
      </c>
      <c r="P127" s="54">
        <f t="shared" si="49"/>
        <v>0</v>
      </c>
    </row>
    <row r="128" spans="2:16" ht="12.5">
      <c r="B128" s="7" t="str">
        <f t="shared" si="50"/>
        <v/>
      </c>
      <c r="C128" s="50">
        <f>IF(D93="","-",+C127+1)</f>
        <v>2040</v>
      </c>
      <c r="D128" s="12">
        <f>IF(F127+SUM(E$99:E127)=D$92,F127,D$92-SUM(E$99:E127))</f>
        <v>402548.61999999988</v>
      </c>
      <c r="E128" s="355">
        <f>IF(+J96&lt;F127,J96,D128)</f>
        <v>37949</v>
      </c>
      <c r="F128" s="55">
        <f t="shared" si="71"/>
        <v>364599.61999999988</v>
      </c>
      <c r="G128" s="55">
        <f t="shared" si="72"/>
        <v>383574.11999999988</v>
      </c>
      <c r="H128" s="356">
        <f t="shared" si="73"/>
        <v>89470.180894718156</v>
      </c>
      <c r="I128" s="381">
        <f t="shared" si="74"/>
        <v>89470.180894718156</v>
      </c>
      <c r="J128" s="54">
        <f t="shared" si="44"/>
        <v>0</v>
      </c>
      <c r="K128" s="54"/>
      <c r="L128" s="115"/>
      <c r="M128" s="54">
        <f t="shared" si="46"/>
        <v>0</v>
      </c>
      <c r="N128" s="115"/>
      <c r="O128" s="54">
        <f t="shared" si="48"/>
        <v>0</v>
      </c>
      <c r="P128" s="54">
        <f t="shared" si="49"/>
        <v>0</v>
      </c>
    </row>
    <row r="129" spans="2:16" ht="12.5">
      <c r="B129" s="7" t="str">
        <f t="shared" si="50"/>
        <v/>
      </c>
      <c r="C129" s="50">
        <f>IF(D93="","-",+C128+1)</f>
        <v>2041</v>
      </c>
      <c r="D129" s="12">
        <f>IF(F128+SUM(E$99:E128)=D$92,F128,D$92-SUM(E$99:E128))</f>
        <v>364599.61999999988</v>
      </c>
      <c r="E129" s="355">
        <f t="shared" ref="E129:E154" si="75">IF(+J$96&lt;F128,J$96,D129)</f>
        <v>37949</v>
      </c>
      <c r="F129" s="55">
        <f t="shared" si="71"/>
        <v>326650.61999999988</v>
      </c>
      <c r="G129" s="55">
        <f t="shared" si="72"/>
        <v>345625.11999999988</v>
      </c>
      <c r="H129" s="356">
        <f t="shared" si="73"/>
        <v>84372.92017813577</v>
      </c>
      <c r="I129" s="381">
        <f t="shared" si="74"/>
        <v>84372.92017813577</v>
      </c>
      <c r="J129" s="54">
        <f t="shared" si="44"/>
        <v>0</v>
      </c>
      <c r="K129" s="54"/>
      <c r="L129" s="115"/>
      <c r="M129" s="54">
        <f t="shared" si="46"/>
        <v>0</v>
      </c>
      <c r="N129" s="115"/>
      <c r="O129" s="54">
        <f t="shared" si="48"/>
        <v>0</v>
      </c>
      <c r="P129" s="54">
        <f t="shared" si="49"/>
        <v>0</v>
      </c>
    </row>
    <row r="130" spans="2:16" ht="12.5">
      <c r="B130" s="7" t="str">
        <f t="shared" si="50"/>
        <v/>
      </c>
      <c r="C130" s="50">
        <f>IF(D93="","-",+C129+1)</f>
        <v>2042</v>
      </c>
      <c r="D130" s="12">
        <f>IF(F129+SUM(E$99:E129)=D$92,F129,D$92-SUM(E$99:E129))</f>
        <v>326650.61999999988</v>
      </c>
      <c r="E130" s="355">
        <f t="shared" si="75"/>
        <v>37949</v>
      </c>
      <c r="F130" s="55">
        <f t="shared" si="71"/>
        <v>288701.61999999988</v>
      </c>
      <c r="G130" s="55">
        <f t="shared" si="72"/>
        <v>307676.11999999988</v>
      </c>
      <c r="H130" s="356">
        <f t="shared" si="73"/>
        <v>79275.659461553369</v>
      </c>
      <c r="I130" s="381">
        <f t="shared" si="74"/>
        <v>79275.659461553369</v>
      </c>
      <c r="J130" s="54">
        <f t="shared" si="44"/>
        <v>0</v>
      </c>
      <c r="K130" s="54"/>
      <c r="L130" s="115"/>
      <c r="M130" s="54">
        <f t="shared" si="46"/>
        <v>0</v>
      </c>
      <c r="N130" s="115"/>
      <c r="O130" s="54">
        <f t="shared" si="48"/>
        <v>0</v>
      </c>
      <c r="P130" s="54">
        <f t="shared" si="49"/>
        <v>0</v>
      </c>
    </row>
    <row r="131" spans="2:16" ht="12.5">
      <c r="B131" s="7" t="str">
        <f t="shared" si="50"/>
        <v/>
      </c>
      <c r="C131" s="50">
        <f>IF(D93="","-",+C130+1)</f>
        <v>2043</v>
      </c>
      <c r="D131" s="12">
        <f>IF(F130+SUM(E$99:E130)=D$92,F130,D$92-SUM(E$99:E130))</f>
        <v>288701.61999999988</v>
      </c>
      <c r="E131" s="355">
        <f t="shared" si="75"/>
        <v>37949</v>
      </c>
      <c r="F131" s="55">
        <f t="shared" ref="F131:F154" si="76">+D131-E131</f>
        <v>250752.61999999988</v>
      </c>
      <c r="G131" s="55">
        <f t="shared" ref="G131:G154" si="77">+(F131+D131)/2</f>
        <v>269727.11999999988</v>
      </c>
      <c r="H131" s="356">
        <f t="shared" ref="H131:H154" si="78">+J$94*G131+E131</f>
        <v>74178.398744970982</v>
      </c>
      <c r="I131" s="381">
        <f t="shared" ref="I131:I154" si="79">+J$95*G131+E131</f>
        <v>74178.398744970982</v>
      </c>
      <c r="J131" s="54">
        <f t="shared" ref="J131:J154" si="80">+I540-H540</f>
        <v>0</v>
      </c>
      <c r="K131" s="54"/>
      <c r="L131" s="115"/>
      <c r="M131" s="54">
        <f t="shared" ref="M131:M154" si="81">IF(L540&lt;&gt;0,+H540-L540,0)</f>
        <v>0</v>
      </c>
      <c r="N131" s="115"/>
      <c r="O131" s="54">
        <f t="shared" ref="O131:O154" si="82">IF(N540&lt;&gt;0,+I540-N540,0)</f>
        <v>0</v>
      </c>
      <c r="P131" s="54">
        <f t="shared" ref="P131:P154" si="83">+O540-M540</f>
        <v>0</v>
      </c>
    </row>
    <row r="132" spans="2:16" ht="12.5">
      <c r="B132" s="7" t="str">
        <f t="shared" ref="B132:B154" si="84">IF(D132=F131,"","IU")</f>
        <v/>
      </c>
      <c r="C132" s="50">
        <f>IF(D93="","-",+C131+1)</f>
        <v>2044</v>
      </c>
      <c r="D132" s="12">
        <f>IF(F131+SUM(E$99:E131)=D$92,F131,D$92-SUM(E$99:E131))</f>
        <v>250752.61999999988</v>
      </c>
      <c r="E132" s="355">
        <f t="shared" si="75"/>
        <v>37949</v>
      </c>
      <c r="F132" s="55">
        <f t="shared" si="76"/>
        <v>212803.61999999988</v>
      </c>
      <c r="G132" s="55">
        <f t="shared" si="77"/>
        <v>231778.11999999988</v>
      </c>
      <c r="H132" s="356">
        <f t="shared" si="78"/>
        <v>69081.138028388596</v>
      </c>
      <c r="I132" s="381">
        <f t="shared" si="79"/>
        <v>69081.138028388596</v>
      </c>
      <c r="J132" s="54">
        <f t="shared" si="80"/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 ht="12.5">
      <c r="B133" s="7" t="str">
        <f t="shared" si="84"/>
        <v/>
      </c>
      <c r="C133" s="50">
        <f>IF(D93="","-",+C132+1)</f>
        <v>2045</v>
      </c>
      <c r="D133" s="12">
        <f>IF(F132+SUM(E$99:E132)=D$92,F132,D$92-SUM(E$99:E132))</f>
        <v>212803.61999999988</v>
      </c>
      <c r="E133" s="355">
        <f t="shared" si="75"/>
        <v>37949</v>
      </c>
      <c r="F133" s="55">
        <f t="shared" si="76"/>
        <v>174854.61999999988</v>
      </c>
      <c r="G133" s="55">
        <f t="shared" si="77"/>
        <v>193829.11999999988</v>
      </c>
      <c r="H133" s="356">
        <f t="shared" si="78"/>
        <v>63983.877311806202</v>
      </c>
      <c r="I133" s="381">
        <f t="shared" si="79"/>
        <v>63983.877311806202</v>
      </c>
      <c r="J133" s="54">
        <f t="shared" si="80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 ht="12.5">
      <c r="B134" s="7" t="str">
        <f t="shared" si="84"/>
        <v/>
      </c>
      <c r="C134" s="50">
        <f>IF(D93="","-",+C133+1)</f>
        <v>2046</v>
      </c>
      <c r="D134" s="12">
        <f>IF(F133+SUM(E$99:E133)=D$92,F133,D$92-SUM(E$99:E133))</f>
        <v>174854.61999999988</v>
      </c>
      <c r="E134" s="355">
        <f t="shared" si="75"/>
        <v>37949</v>
      </c>
      <c r="F134" s="55">
        <f t="shared" si="76"/>
        <v>136905.61999999988</v>
      </c>
      <c r="G134" s="55">
        <f t="shared" si="77"/>
        <v>155880.11999999988</v>
      </c>
      <c r="H134" s="356">
        <f t="shared" si="78"/>
        <v>58886.616595223808</v>
      </c>
      <c r="I134" s="381">
        <f t="shared" si="79"/>
        <v>58886.616595223808</v>
      </c>
      <c r="J134" s="54">
        <f t="shared" si="80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 ht="12.5">
      <c r="B135" s="7" t="str">
        <f t="shared" si="84"/>
        <v/>
      </c>
      <c r="C135" s="50">
        <f>IF(D93="","-",+C134+1)</f>
        <v>2047</v>
      </c>
      <c r="D135" s="12">
        <f>IF(F134+SUM(E$99:E134)=D$92,F134,D$92-SUM(E$99:E134))</f>
        <v>136905.61999999988</v>
      </c>
      <c r="E135" s="355">
        <f t="shared" si="75"/>
        <v>37949</v>
      </c>
      <c r="F135" s="55">
        <f t="shared" si="76"/>
        <v>98956.619999999879</v>
      </c>
      <c r="G135" s="55">
        <f t="shared" si="77"/>
        <v>117931.11999999988</v>
      </c>
      <c r="H135" s="356">
        <f t="shared" si="78"/>
        <v>53789.355878641421</v>
      </c>
      <c r="I135" s="381">
        <f t="shared" si="79"/>
        <v>53789.355878641421</v>
      </c>
      <c r="J135" s="54">
        <f t="shared" si="80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 ht="12.5">
      <c r="B136" s="7" t="str">
        <f t="shared" si="84"/>
        <v/>
      </c>
      <c r="C136" s="50">
        <f>IF(D93="","-",+C135+1)</f>
        <v>2048</v>
      </c>
      <c r="D136" s="12">
        <f>IF(F135+SUM(E$99:E135)=D$92,F135,D$92-SUM(E$99:E135))</f>
        <v>98956.619999999879</v>
      </c>
      <c r="E136" s="355">
        <f t="shared" si="75"/>
        <v>37949</v>
      </c>
      <c r="F136" s="55">
        <f t="shared" si="76"/>
        <v>61007.619999999879</v>
      </c>
      <c r="G136" s="55">
        <f t="shared" si="77"/>
        <v>79982.119999999879</v>
      </c>
      <c r="H136" s="356">
        <f t="shared" si="78"/>
        <v>48692.095162059028</v>
      </c>
      <c r="I136" s="381">
        <f t="shared" si="79"/>
        <v>48692.095162059028</v>
      </c>
      <c r="J136" s="54">
        <f t="shared" si="80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 ht="12.5">
      <c r="B137" s="7" t="str">
        <f t="shared" si="84"/>
        <v/>
      </c>
      <c r="C137" s="50">
        <f>IF(D93="","-",+C136+1)</f>
        <v>2049</v>
      </c>
      <c r="D137" s="12">
        <f>IF(F136+SUM(E$99:E136)=D$92,F136,D$92-SUM(E$99:E136))</f>
        <v>61007.619999999879</v>
      </c>
      <c r="E137" s="355">
        <f t="shared" si="75"/>
        <v>37949</v>
      </c>
      <c r="F137" s="55">
        <f t="shared" si="76"/>
        <v>23058.619999999879</v>
      </c>
      <c r="G137" s="55">
        <f t="shared" si="77"/>
        <v>42033.119999999879</v>
      </c>
      <c r="H137" s="356">
        <f t="shared" si="78"/>
        <v>43594.834445476641</v>
      </c>
      <c r="I137" s="381">
        <f t="shared" si="79"/>
        <v>43594.834445476641</v>
      </c>
      <c r="J137" s="54">
        <f t="shared" si="80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 ht="12.5">
      <c r="B138" s="7" t="str">
        <f t="shared" si="84"/>
        <v/>
      </c>
      <c r="C138" s="50">
        <f>IF(D93="","-",+C137+1)</f>
        <v>2050</v>
      </c>
      <c r="D138" s="12">
        <f>IF(F137+SUM(E$99:E137)=D$92,F137,D$92-SUM(E$99:E137))</f>
        <v>23058.619999999879</v>
      </c>
      <c r="E138" s="355">
        <f t="shared" si="75"/>
        <v>23058.619999999879</v>
      </c>
      <c r="F138" s="55">
        <f t="shared" si="76"/>
        <v>0</v>
      </c>
      <c r="G138" s="55">
        <f t="shared" si="77"/>
        <v>11529.309999999939</v>
      </c>
      <c r="H138" s="356">
        <f t="shared" si="78"/>
        <v>24607.222043592599</v>
      </c>
      <c r="I138" s="381">
        <f t="shared" si="79"/>
        <v>24607.222043592599</v>
      </c>
      <c r="J138" s="54">
        <f t="shared" si="80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 ht="12.5">
      <c r="B139" s="7" t="str">
        <f t="shared" si="84"/>
        <v/>
      </c>
      <c r="C139" s="50">
        <f>IF(D93="","-",+C138+1)</f>
        <v>2051</v>
      </c>
      <c r="D139" s="12">
        <f>IF(F138+SUM(E$99:E138)=D$92,F138,D$92-SUM(E$99:E138))</f>
        <v>0</v>
      </c>
      <c r="E139" s="355">
        <f t="shared" si="75"/>
        <v>0</v>
      </c>
      <c r="F139" s="55">
        <f t="shared" si="76"/>
        <v>0</v>
      </c>
      <c r="G139" s="55">
        <f t="shared" si="77"/>
        <v>0</v>
      </c>
      <c r="H139" s="356">
        <f t="shared" si="78"/>
        <v>0</v>
      </c>
      <c r="I139" s="381">
        <f t="shared" si="79"/>
        <v>0</v>
      </c>
      <c r="J139" s="54">
        <f t="shared" si="80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 ht="12.5">
      <c r="B140" s="7" t="str">
        <f t="shared" si="84"/>
        <v/>
      </c>
      <c r="C140" s="50">
        <f>IF(D93="","-",+C139+1)</f>
        <v>2052</v>
      </c>
      <c r="D140" s="12">
        <f>IF(F139+SUM(E$99:E139)=D$92,F139,D$92-SUM(E$99:E139))</f>
        <v>0</v>
      </c>
      <c r="E140" s="355">
        <f t="shared" si="75"/>
        <v>0</v>
      </c>
      <c r="F140" s="55">
        <f t="shared" si="76"/>
        <v>0</v>
      </c>
      <c r="G140" s="55">
        <f t="shared" si="77"/>
        <v>0</v>
      </c>
      <c r="H140" s="356">
        <f t="shared" si="78"/>
        <v>0</v>
      </c>
      <c r="I140" s="381">
        <f t="shared" si="79"/>
        <v>0</v>
      </c>
      <c r="J140" s="54">
        <f t="shared" si="80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 ht="12.5">
      <c r="B141" s="7" t="str">
        <f t="shared" si="84"/>
        <v/>
      </c>
      <c r="C141" s="50">
        <f>IF(D93="","-",+C140+1)</f>
        <v>2053</v>
      </c>
      <c r="D141" s="12">
        <f>IF(F140+SUM(E$99:E140)=D$92,F140,D$92-SUM(E$99:E140))</f>
        <v>0</v>
      </c>
      <c r="E141" s="355">
        <f t="shared" si="75"/>
        <v>0</v>
      </c>
      <c r="F141" s="55">
        <f t="shared" si="76"/>
        <v>0</v>
      </c>
      <c r="G141" s="55">
        <f t="shared" si="77"/>
        <v>0</v>
      </c>
      <c r="H141" s="356">
        <f t="shared" si="78"/>
        <v>0</v>
      </c>
      <c r="I141" s="381">
        <f t="shared" si="79"/>
        <v>0</v>
      </c>
      <c r="J141" s="54">
        <f t="shared" si="80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 ht="12.5">
      <c r="B142" s="7" t="str">
        <f t="shared" si="84"/>
        <v/>
      </c>
      <c r="C142" s="50">
        <f>IF(D93="","-",+C141+1)</f>
        <v>2054</v>
      </c>
      <c r="D142" s="12">
        <f>IF(F141+SUM(E$99:E141)=D$92,F141,D$92-SUM(E$99:E141))</f>
        <v>0</v>
      </c>
      <c r="E142" s="355">
        <f t="shared" si="75"/>
        <v>0</v>
      </c>
      <c r="F142" s="55">
        <f t="shared" si="76"/>
        <v>0</v>
      </c>
      <c r="G142" s="55">
        <f t="shared" si="77"/>
        <v>0</v>
      </c>
      <c r="H142" s="356">
        <f t="shared" si="78"/>
        <v>0</v>
      </c>
      <c r="I142" s="381">
        <f t="shared" si="79"/>
        <v>0</v>
      </c>
      <c r="J142" s="54">
        <f t="shared" si="80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 ht="12.5">
      <c r="B143" s="7" t="str">
        <f t="shared" si="84"/>
        <v/>
      </c>
      <c r="C143" s="50">
        <f>IF(D93="","-",+C142+1)</f>
        <v>2055</v>
      </c>
      <c r="D143" s="12">
        <f>IF(F142+SUM(E$99:E142)=D$92,F142,D$92-SUM(E$99:E142))</f>
        <v>0</v>
      </c>
      <c r="E143" s="355">
        <f t="shared" si="75"/>
        <v>0</v>
      </c>
      <c r="F143" s="55">
        <f t="shared" si="76"/>
        <v>0</v>
      </c>
      <c r="G143" s="55">
        <f t="shared" si="77"/>
        <v>0</v>
      </c>
      <c r="H143" s="356">
        <f t="shared" si="78"/>
        <v>0</v>
      </c>
      <c r="I143" s="381">
        <f t="shared" si="79"/>
        <v>0</v>
      </c>
      <c r="J143" s="54">
        <f t="shared" si="80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 ht="12.5">
      <c r="B144" s="7" t="str">
        <f t="shared" si="84"/>
        <v/>
      </c>
      <c r="C144" s="50">
        <f>IF(D93="","-",+C143+1)</f>
        <v>2056</v>
      </c>
      <c r="D144" s="12">
        <f>IF(F143+SUM(E$99:E143)=D$92,F143,D$92-SUM(E$99:E143))</f>
        <v>0</v>
      </c>
      <c r="E144" s="355">
        <f t="shared" si="75"/>
        <v>0</v>
      </c>
      <c r="F144" s="55">
        <f t="shared" si="76"/>
        <v>0</v>
      </c>
      <c r="G144" s="55">
        <f t="shared" si="77"/>
        <v>0</v>
      </c>
      <c r="H144" s="356">
        <f t="shared" si="78"/>
        <v>0</v>
      </c>
      <c r="I144" s="381">
        <f t="shared" si="79"/>
        <v>0</v>
      </c>
      <c r="J144" s="54">
        <f t="shared" si="80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 ht="12.5">
      <c r="B145" s="7" t="str">
        <f t="shared" si="84"/>
        <v/>
      </c>
      <c r="C145" s="50">
        <f>IF(D93="","-",+C144+1)</f>
        <v>2057</v>
      </c>
      <c r="D145" s="12">
        <f>IF(F144+SUM(E$99:E144)=D$92,F144,D$92-SUM(E$99:E144))</f>
        <v>0</v>
      </c>
      <c r="E145" s="355">
        <f t="shared" si="75"/>
        <v>0</v>
      </c>
      <c r="F145" s="55">
        <f t="shared" si="76"/>
        <v>0</v>
      </c>
      <c r="G145" s="55">
        <f t="shared" si="77"/>
        <v>0</v>
      </c>
      <c r="H145" s="356">
        <f t="shared" si="78"/>
        <v>0</v>
      </c>
      <c r="I145" s="381">
        <f t="shared" si="79"/>
        <v>0</v>
      </c>
      <c r="J145" s="54">
        <f t="shared" si="80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 ht="12.5">
      <c r="B146" s="7" t="str">
        <f t="shared" si="84"/>
        <v/>
      </c>
      <c r="C146" s="50">
        <f>IF(D93="","-",+C145+1)</f>
        <v>2058</v>
      </c>
      <c r="D146" s="12">
        <f>IF(F145+SUM(E$99:E145)=D$92,F145,D$92-SUM(E$99:E145))</f>
        <v>0</v>
      </c>
      <c r="E146" s="355">
        <f t="shared" si="75"/>
        <v>0</v>
      </c>
      <c r="F146" s="55">
        <f t="shared" si="76"/>
        <v>0</v>
      </c>
      <c r="G146" s="55">
        <f t="shared" si="77"/>
        <v>0</v>
      </c>
      <c r="H146" s="356">
        <f t="shared" si="78"/>
        <v>0</v>
      </c>
      <c r="I146" s="381">
        <f t="shared" si="79"/>
        <v>0</v>
      </c>
      <c r="J146" s="54">
        <f t="shared" si="80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 ht="12.5">
      <c r="B147" s="7" t="str">
        <f t="shared" si="84"/>
        <v/>
      </c>
      <c r="C147" s="50">
        <f>IF(D93="","-",+C146+1)</f>
        <v>2059</v>
      </c>
      <c r="D147" s="12">
        <f>IF(F146+SUM(E$99:E146)=D$92,F146,D$92-SUM(E$99:E146))</f>
        <v>0</v>
      </c>
      <c r="E147" s="355">
        <f t="shared" si="75"/>
        <v>0</v>
      </c>
      <c r="F147" s="55">
        <f t="shared" si="76"/>
        <v>0</v>
      </c>
      <c r="G147" s="55">
        <f t="shared" si="77"/>
        <v>0</v>
      </c>
      <c r="H147" s="356">
        <f t="shared" si="78"/>
        <v>0</v>
      </c>
      <c r="I147" s="381">
        <f t="shared" si="79"/>
        <v>0</v>
      </c>
      <c r="J147" s="54">
        <f t="shared" si="80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 ht="12.5">
      <c r="B148" s="7" t="str">
        <f t="shared" si="84"/>
        <v/>
      </c>
      <c r="C148" s="50">
        <f>IF(D93="","-",+C147+1)</f>
        <v>2060</v>
      </c>
      <c r="D148" s="12">
        <f>IF(F147+SUM(E$99:E147)=D$92,F147,D$92-SUM(E$99:E147))</f>
        <v>0</v>
      </c>
      <c r="E148" s="355">
        <f t="shared" si="75"/>
        <v>0</v>
      </c>
      <c r="F148" s="55">
        <f t="shared" si="76"/>
        <v>0</v>
      </c>
      <c r="G148" s="55">
        <f t="shared" si="77"/>
        <v>0</v>
      </c>
      <c r="H148" s="356">
        <f t="shared" si="78"/>
        <v>0</v>
      </c>
      <c r="I148" s="381">
        <f t="shared" si="79"/>
        <v>0</v>
      </c>
      <c r="J148" s="54">
        <f t="shared" si="80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 ht="12.5">
      <c r="B149" s="7" t="str">
        <f t="shared" si="84"/>
        <v/>
      </c>
      <c r="C149" s="50">
        <f>IF(D93="","-",+C148+1)</f>
        <v>2061</v>
      </c>
      <c r="D149" s="12">
        <f>IF(F148+SUM(E$99:E148)=D$92,F148,D$92-SUM(E$99:E148))</f>
        <v>0</v>
      </c>
      <c r="E149" s="355">
        <f t="shared" si="75"/>
        <v>0</v>
      </c>
      <c r="F149" s="55">
        <f t="shared" si="76"/>
        <v>0</v>
      </c>
      <c r="G149" s="55">
        <f t="shared" si="77"/>
        <v>0</v>
      </c>
      <c r="H149" s="356">
        <f t="shared" si="78"/>
        <v>0</v>
      </c>
      <c r="I149" s="381">
        <f t="shared" si="79"/>
        <v>0</v>
      </c>
      <c r="J149" s="54">
        <f t="shared" si="80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 ht="12.5">
      <c r="B150" s="7" t="str">
        <f t="shared" si="84"/>
        <v/>
      </c>
      <c r="C150" s="50">
        <f>IF(D93="","-",+C149+1)</f>
        <v>2062</v>
      </c>
      <c r="D150" s="12">
        <f>IF(F149+SUM(E$99:E149)=D$92,F149,D$92-SUM(E$99:E149))</f>
        <v>0</v>
      </c>
      <c r="E150" s="355">
        <f t="shared" si="75"/>
        <v>0</v>
      </c>
      <c r="F150" s="55">
        <f t="shared" si="76"/>
        <v>0</v>
      </c>
      <c r="G150" s="55">
        <f t="shared" si="77"/>
        <v>0</v>
      </c>
      <c r="H150" s="356">
        <f t="shared" si="78"/>
        <v>0</v>
      </c>
      <c r="I150" s="381">
        <f t="shared" si="79"/>
        <v>0</v>
      </c>
      <c r="J150" s="54">
        <f t="shared" si="80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 ht="12.5">
      <c r="B151" s="7" t="str">
        <f t="shared" si="84"/>
        <v/>
      </c>
      <c r="C151" s="50">
        <f>IF(D93="","-",+C150+1)</f>
        <v>2063</v>
      </c>
      <c r="D151" s="12">
        <f>IF(F150+SUM(E$99:E150)=D$92,F150,D$92-SUM(E$99:E150))</f>
        <v>0</v>
      </c>
      <c r="E151" s="355">
        <f t="shared" si="75"/>
        <v>0</v>
      </c>
      <c r="F151" s="55">
        <f t="shared" si="76"/>
        <v>0</v>
      </c>
      <c r="G151" s="55">
        <f t="shared" si="77"/>
        <v>0</v>
      </c>
      <c r="H151" s="356">
        <f t="shared" si="78"/>
        <v>0</v>
      </c>
      <c r="I151" s="381">
        <f t="shared" si="79"/>
        <v>0</v>
      </c>
      <c r="J151" s="54">
        <f t="shared" si="80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 ht="12.5">
      <c r="B152" s="7" t="str">
        <f t="shared" si="84"/>
        <v/>
      </c>
      <c r="C152" s="50">
        <f>IF(D93="","-",+C151+1)</f>
        <v>2064</v>
      </c>
      <c r="D152" s="12">
        <f>IF(F151+SUM(E$99:E151)=D$92,F151,D$92-SUM(E$99:E151))</f>
        <v>0</v>
      </c>
      <c r="E152" s="355">
        <f t="shared" si="75"/>
        <v>0</v>
      </c>
      <c r="F152" s="55">
        <f t="shared" si="76"/>
        <v>0</v>
      </c>
      <c r="G152" s="55">
        <f t="shared" si="77"/>
        <v>0</v>
      </c>
      <c r="H152" s="356">
        <f t="shared" si="78"/>
        <v>0</v>
      </c>
      <c r="I152" s="381">
        <f t="shared" si="79"/>
        <v>0</v>
      </c>
      <c r="J152" s="54">
        <f t="shared" si="80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 ht="12.5">
      <c r="B153" s="7" t="str">
        <f t="shared" si="84"/>
        <v/>
      </c>
      <c r="C153" s="50">
        <f>IF(D93="","-",+C152+1)</f>
        <v>2065</v>
      </c>
      <c r="D153" s="12">
        <f>IF(F152+SUM(E$99:E152)=D$92,F152,D$92-SUM(E$99:E152))</f>
        <v>0</v>
      </c>
      <c r="E153" s="355">
        <f t="shared" si="75"/>
        <v>0</v>
      </c>
      <c r="F153" s="55">
        <f t="shared" si="76"/>
        <v>0</v>
      </c>
      <c r="G153" s="55">
        <f t="shared" si="77"/>
        <v>0</v>
      </c>
      <c r="H153" s="356">
        <f t="shared" si="78"/>
        <v>0</v>
      </c>
      <c r="I153" s="381">
        <f t="shared" si="79"/>
        <v>0</v>
      </c>
      <c r="J153" s="54">
        <f t="shared" si="80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" thickBot="1">
      <c r="B154" s="7" t="str">
        <f t="shared" si="84"/>
        <v/>
      </c>
      <c r="C154" s="58">
        <f>IF(D93="","-",+C153+1)</f>
        <v>2066</v>
      </c>
      <c r="D154" s="403">
        <f>IF(F153+SUM(E$99:E153)=D$92,F153,D$92-SUM(E$99:E153))</f>
        <v>0</v>
      </c>
      <c r="E154" s="382">
        <f t="shared" si="75"/>
        <v>0</v>
      </c>
      <c r="F154" s="59">
        <f t="shared" si="76"/>
        <v>0</v>
      </c>
      <c r="G154" s="59">
        <f t="shared" si="77"/>
        <v>0</v>
      </c>
      <c r="H154" s="358">
        <f t="shared" si="78"/>
        <v>0</v>
      </c>
      <c r="I154" s="383">
        <f t="shared" si="79"/>
        <v>0</v>
      </c>
      <c r="J154" s="62">
        <f t="shared" si="80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 ht="12.5">
      <c r="C155" s="12" t="s">
        <v>77</v>
      </c>
      <c r="D155" s="267"/>
      <c r="E155" s="267">
        <f>SUM(E99:E154)</f>
        <v>1404099.6199999999</v>
      </c>
      <c r="F155" s="267"/>
      <c r="G155" s="267"/>
      <c r="H155" s="267">
        <f>SUM(H99:H154)</f>
        <v>5151742.1389736878</v>
      </c>
      <c r="I155" s="267">
        <f>SUM(I99:I154)</f>
        <v>5151742.1389736878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2"/>
  <dimension ref="A1:V162"/>
  <sheetViews>
    <sheetView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12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362646.86842105264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362646.86842105264</v>
      </c>
      <c r="O6" s="1"/>
      <c r="P6" s="1"/>
    </row>
    <row r="7" spans="1:16" ht="13.5" thickBot="1">
      <c r="C7" s="26" t="s">
        <v>46</v>
      </c>
      <c r="D7" s="332" t="s">
        <v>237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236</v>
      </c>
      <c r="E9" s="404" t="s">
        <v>294</v>
      </c>
      <c r="F9" s="32"/>
      <c r="G9" s="452" t="s">
        <v>398</v>
      </c>
      <c r="H9" s="32"/>
      <c r="I9" s="33"/>
      <c r="J9" s="34"/>
      <c r="P9" s="1"/>
    </row>
    <row r="10" spans="1:16" ht="13">
      <c r="C10" s="128" t="s">
        <v>226</v>
      </c>
      <c r="D10" s="336">
        <v>3305767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8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86993.868421052626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2013</v>
      </c>
      <c r="D17" s="349">
        <v>1132400</v>
      </c>
      <c r="E17" s="350">
        <v>3629.4871794871797</v>
      </c>
      <c r="F17" s="349">
        <v>1128770.5128205128</v>
      </c>
      <c r="G17" s="350">
        <v>160761.94360740471</v>
      </c>
      <c r="H17" s="353">
        <v>160761.94360740471</v>
      </c>
      <c r="I17" s="52">
        <f t="shared" ref="I17:I48" si="0">H17-G17</f>
        <v>0</v>
      </c>
      <c r="J17" s="52"/>
      <c r="K17" s="117">
        <f t="shared" ref="K17:K22" si="1">G17</f>
        <v>160761.94360740471</v>
      </c>
      <c r="L17" s="53">
        <f t="shared" ref="L17:L48" si="2">IF(K17&lt;&gt;0,+G17-K17,0)</f>
        <v>0</v>
      </c>
      <c r="M17" s="117">
        <f t="shared" ref="M17:M22" si="3">H17</f>
        <v>160761.94360740471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 t="shared" ref="B18:B49" si="6">IF(D18=F17,"","IU")</f>
        <v>IU</v>
      </c>
      <c r="C18" s="50">
        <f>IF(D11="","-",+C17+1)</f>
        <v>2014</v>
      </c>
      <c r="D18" s="349">
        <v>2746405</v>
      </c>
      <c r="E18" s="352">
        <v>52885</v>
      </c>
      <c r="F18" s="349">
        <v>2693519</v>
      </c>
      <c r="G18" s="352">
        <v>437538</v>
      </c>
      <c r="H18" s="353">
        <v>437538</v>
      </c>
      <c r="I18" s="52">
        <f t="shared" si="0"/>
        <v>0</v>
      </c>
      <c r="J18" s="52"/>
      <c r="K18" s="324">
        <f t="shared" si="1"/>
        <v>437538</v>
      </c>
      <c r="L18" s="54">
        <f t="shared" ref="L18:L23" si="7">IF(K18&lt;&gt;0,+G18-K18,0)</f>
        <v>0</v>
      </c>
      <c r="M18" s="324">
        <f t="shared" si="3"/>
        <v>437538</v>
      </c>
      <c r="N18" s="54">
        <f t="shared" ref="N18:N23" si="8">IF(M18&lt;&gt;0,+H18-M18,0)</f>
        <v>0</v>
      </c>
      <c r="O18" s="54">
        <f t="shared" ref="O18:O23" si="9">+N18-L18</f>
        <v>0</v>
      </c>
      <c r="P18" s="1"/>
    </row>
    <row r="19" spans="2:16" ht="12.5">
      <c r="B19" s="7" t="str">
        <f t="shared" si="6"/>
        <v>IU</v>
      </c>
      <c r="C19" s="50">
        <f>IF(D11="","-",+C18+1)</f>
        <v>2015</v>
      </c>
      <c r="D19" s="349">
        <v>3185619.512820513</v>
      </c>
      <c r="E19" s="352">
        <v>62348.730769230766</v>
      </c>
      <c r="F19" s="349">
        <v>3123270.782051282</v>
      </c>
      <c r="G19" s="352">
        <v>492294.73076923075</v>
      </c>
      <c r="H19" s="353">
        <v>492294.73076923075</v>
      </c>
      <c r="I19" s="52">
        <v>0</v>
      </c>
      <c r="J19" s="52"/>
      <c r="K19" s="324">
        <f t="shared" si="1"/>
        <v>492294.73076923075</v>
      </c>
      <c r="L19" s="54">
        <f t="shared" si="7"/>
        <v>0</v>
      </c>
      <c r="M19" s="324">
        <f t="shared" si="3"/>
        <v>492294.73076923075</v>
      </c>
      <c r="N19" s="54">
        <f t="shared" si="8"/>
        <v>0</v>
      </c>
      <c r="O19" s="54">
        <f t="shared" si="9"/>
        <v>0</v>
      </c>
      <c r="P19" s="1"/>
    </row>
    <row r="20" spans="2:16" ht="12.5">
      <c r="B20" s="7" t="str">
        <f t="shared" si="6"/>
        <v>IU</v>
      </c>
      <c r="C20" s="50">
        <f>IF(D11="","-",+C19+1)</f>
        <v>2016</v>
      </c>
      <c r="D20" s="349">
        <v>3186903.9220512821</v>
      </c>
      <c r="E20" s="352">
        <v>63572.445</v>
      </c>
      <c r="F20" s="349">
        <v>3123331.4770512823</v>
      </c>
      <c r="G20" s="352">
        <v>494191.44500000001</v>
      </c>
      <c r="H20" s="353">
        <v>494191.44500000001</v>
      </c>
      <c r="I20" s="52">
        <v>0</v>
      </c>
      <c r="J20" s="52"/>
      <c r="K20" s="324">
        <f t="shared" si="1"/>
        <v>494191.44500000001</v>
      </c>
      <c r="L20" s="54">
        <f t="shared" si="7"/>
        <v>0</v>
      </c>
      <c r="M20" s="324">
        <f t="shared" si="3"/>
        <v>494191.44500000001</v>
      </c>
      <c r="N20" s="54">
        <f t="shared" si="8"/>
        <v>0</v>
      </c>
      <c r="O20" s="54">
        <f t="shared" si="9"/>
        <v>0</v>
      </c>
      <c r="P20" s="1"/>
    </row>
    <row r="21" spans="2:16" ht="12.5">
      <c r="B21" s="7" t="str">
        <f t="shared" si="6"/>
        <v/>
      </c>
      <c r="C21" s="50">
        <f>IF(D11="","-",+C20+1)</f>
        <v>2017</v>
      </c>
      <c r="D21" s="349">
        <v>3123331.4770512823</v>
      </c>
      <c r="E21" s="352">
        <v>63572.445</v>
      </c>
      <c r="F21" s="349">
        <v>3059759.0320512825</v>
      </c>
      <c r="G21" s="352">
        <v>464889.44500000001</v>
      </c>
      <c r="H21" s="353">
        <v>464889.44500000001</v>
      </c>
      <c r="I21" s="52">
        <f t="shared" si="0"/>
        <v>0</v>
      </c>
      <c r="J21" s="52"/>
      <c r="K21" s="324">
        <f t="shared" si="1"/>
        <v>464889.44500000001</v>
      </c>
      <c r="L21" s="54">
        <f t="shared" si="7"/>
        <v>0</v>
      </c>
      <c r="M21" s="324">
        <f t="shared" si="3"/>
        <v>464889.44500000001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2018</v>
      </c>
      <c r="D22" s="349">
        <v>3059759.0320512825</v>
      </c>
      <c r="E22" s="352">
        <v>71864.503043478268</v>
      </c>
      <c r="F22" s="349">
        <v>2987894.5290078041</v>
      </c>
      <c r="G22" s="352">
        <v>452105.50304347824</v>
      </c>
      <c r="H22" s="353">
        <v>452105.50304347824</v>
      </c>
      <c r="I22" s="52">
        <f t="shared" si="0"/>
        <v>0</v>
      </c>
      <c r="J22" s="52"/>
      <c r="K22" s="324">
        <f t="shared" si="1"/>
        <v>452105.50304347824</v>
      </c>
      <c r="L22" s="54">
        <f t="shared" si="7"/>
        <v>0</v>
      </c>
      <c r="M22" s="324">
        <f t="shared" si="3"/>
        <v>452105.50304347824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2019</v>
      </c>
      <c r="D23" s="349">
        <v>2987894.5290078041</v>
      </c>
      <c r="E23" s="352">
        <v>73461.491999999998</v>
      </c>
      <c r="F23" s="349">
        <v>2914433.037007804</v>
      </c>
      <c r="G23" s="352">
        <v>467887.49199999997</v>
      </c>
      <c r="H23" s="353">
        <v>467887.49199999997</v>
      </c>
      <c r="I23" s="52">
        <f t="shared" si="0"/>
        <v>0</v>
      </c>
      <c r="J23" s="52"/>
      <c r="K23" s="324">
        <f t="shared" ref="K23:K28" si="10">G23</f>
        <v>467887.49199999997</v>
      </c>
      <c r="L23" s="54">
        <f t="shared" si="7"/>
        <v>0</v>
      </c>
      <c r="M23" s="324">
        <f t="shared" ref="M23:M28" si="11">H23</f>
        <v>467887.49199999997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2020</v>
      </c>
      <c r="D24" s="349">
        <v>2914433.037007804</v>
      </c>
      <c r="E24" s="352">
        <v>73461.491999999998</v>
      </c>
      <c r="F24" s="349">
        <v>2840971.5450078039</v>
      </c>
      <c r="G24" s="352">
        <v>457945.49199999997</v>
      </c>
      <c r="H24" s="353">
        <v>457945.49199999997</v>
      </c>
      <c r="I24" s="52">
        <f t="shared" si="0"/>
        <v>0</v>
      </c>
      <c r="J24" s="52"/>
      <c r="K24" s="324">
        <f t="shared" si="10"/>
        <v>457945.49199999997</v>
      </c>
      <c r="L24" s="54">
        <f t="shared" ref="L24" si="12">IF(K24&lt;&gt;0,+G24-K24,0)</f>
        <v>0</v>
      </c>
      <c r="M24" s="324">
        <f t="shared" si="11"/>
        <v>457945.49199999997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2021</v>
      </c>
      <c r="D25" s="349">
        <v>2840971.5450078039</v>
      </c>
      <c r="E25" s="352">
        <v>78708.741428571433</v>
      </c>
      <c r="F25" s="349">
        <v>2762262.8035792327</v>
      </c>
      <c r="G25" s="352">
        <v>381296.77932523622</v>
      </c>
      <c r="H25" s="353">
        <v>381296.77932523622</v>
      </c>
      <c r="I25" s="52">
        <f t="shared" si="0"/>
        <v>0</v>
      </c>
      <c r="J25" s="52"/>
      <c r="K25" s="324">
        <f t="shared" si="10"/>
        <v>381296.77932523622</v>
      </c>
      <c r="L25" s="54">
        <f t="shared" ref="L25" si="15">IF(K25&lt;&gt;0,+G25-K25,0)</f>
        <v>0</v>
      </c>
      <c r="M25" s="324">
        <f t="shared" si="11"/>
        <v>381296.77932523622</v>
      </c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6"/>
        <v>IU</v>
      </c>
      <c r="C26" s="50">
        <f>IF(D11="","-",+C25+1)</f>
        <v>2022</v>
      </c>
      <c r="D26" s="349">
        <v>2753080.1170792324</v>
      </c>
      <c r="E26" s="352">
        <v>76878.305581395354</v>
      </c>
      <c r="F26" s="349">
        <v>2676201.8114978368</v>
      </c>
      <c r="G26" s="352">
        <v>365431.30558139534</v>
      </c>
      <c r="H26" s="353">
        <v>365431.30558139534</v>
      </c>
      <c r="I26" s="52">
        <f t="shared" si="0"/>
        <v>0</v>
      </c>
      <c r="J26" s="52"/>
      <c r="K26" s="324">
        <f t="shared" si="10"/>
        <v>365431.30558139534</v>
      </c>
      <c r="L26" s="54">
        <f t="shared" ref="L26" si="16">IF(K26&lt;&gt;0,+G26-K26,0)</f>
        <v>0</v>
      </c>
      <c r="M26" s="324">
        <f t="shared" si="11"/>
        <v>365431.30558139534</v>
      </c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6"/>
        <v>IU</v>
      </c>
      <c r="C27" s="50">
        <f>IF(D11="","-",+C26+1)</f>
        <v>2023</v>
      </c>
      <c r="D27" s="349">
        <v>2685384.4979978371</v>
      </c>
      <c r="E27" s="352">
        <v>78708.741428571433</v>
      </c>
      <c r="F27" s="349">
        <v>2606675.7565692659</v>
      </c>
      <c r="G27" s="352">
        <v>359737.7414285714</v>
      </c>
      <c r="H27" s="353">
        <v>359737.7414285714</v>
      </c>
      <c r="I27" s="52">
        <f t="shared" si="0"/>
        <v>0</v>
      </c>
      <c r="J27" s="52"/>
      <c r="K27" s="324">
        <f t="shared" si="10"/>
        <v>359737.7414285714</v>
      </c>
      <c r="L27" s="54">
        <f t="shared" ref="L27" si="17">IF(K27&lt;&gt;0,+G27-K27,0)</f>
        <v>0</v>
      </c>
      <c r="M27" s="324">
        <f t="shared" si="11"/>
        <v>359737.7414285714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2024</v>
      </c>
      <c r="D28" s="349">
        <v>2606675.6165692657</v>
      </c>
      <c r="E28" s="352">
        <v>84763.256410256407</v>
      </c>
      <c r="F28" s="349">
        <v>2521912.3601590092</v>
      </c>
      <c r="G28" s="352">
        <v>385776.25641025638</v>
      </c>
      <c r="H28" s="353">
        <v>385776.25641025638</v>
      </c>
      <c r="I28" s="52">
        <f t="shared" si="0"/>
        <v>0</v>
      </c>
      <c r="J28" s="52"/>
      <c r="K28" s="324">
        <f t="shared" si="10"/>
        <v>385776.25641025638</v>
      </c>
      <c r="L28" s="54">
        <f t="shared" ref="L28" si="18">IF(K28&lt;&gt;0,+G28-K28,0)</f>
        <v>0</v>
      </c>
      <c r="M28" s="324">
        <f t="shared" si="11"/>
        <v>385776.25641025638</v>
      </c>
      <c r="N28" s="54">
        <f t="shared" ref="N28" si="19">IF(M28&lt;&gt;0,+H28-M28,0)</f>
        <v>0</v>
      </c>
      <c r="O28" s="54">
        <f t="shared" ref="O28" si="20">+N28-L28</f>
        <v>0</v>
      </c>
      <c r="P28" s="1"/>
    </row>
    <row r="29" spans="2:16" ht="13">
      <c r="B29" s="7" t="str">
        <f t="shared" si="6"/>
        <v/>
      </c>
      <c r="C29" s="449">
        <f>IF(D11="","-",+C28+1)</f>
        <v>2025</v>
      </c>
      <c r="D29" s="349">
        <v>2521912.3601590092</v>
      </c>
      <c r="E29" s="352">
        <v>86993.868421052626</v>
      </c>
      <c r="F29" s="349">
        <v>2434918.4917379566</v>
      </c>
      <c r="G29" s="352">
        <v>363616.86842105264</v>
      </c>
      <c r="H29" s="353">
        <v>363616.86842105264</v>
      </c>
      <c r="I29" s="52">
        <f t="shared" si="0"/>
        <v>0</v>
      </c>
      <c r="J29" s="52"/>
      <c r="K29" s="324">
        <f t="shared" ref="K29" si="21">G29</f>
        <v>363616.86842105264</v>
      </c>
      <c r="L29" s="54">
        <f t="shared" ref="L29" si="22">IF(K29&lt;&gt;0,+G29-K29,0)</f>
        <v>0</v>
      </c>
      <c r="M29" s="324">
        <f t="shared" ref="M29" si="23">H29</f>
        <v>363616.86842105264</v>
      </c>
      <c r="N29" s="54">
        <f t="shared" ref="N29" si="24">IF(M29&lt;&gt;0,+H29-M29,0)</f>
        <v>0</v>
      </c>
      <c r="O29" s="54">
        <f t="shared" ref="O29" si="25">+N29-L29</f>
        <v>0</v>
      </c>
      <c r="P29" s="1"/>
    </row>
    <row r="30" spans="2:16" ht="12.5">
      <c r="B30" s="7" t="str">
        <f t="shared" si="6"/>
        <v/>
      </c>
      <c r="C30" s="50">
        <f>IF(D11="","-",+C29+1)</f>
        <v>2026</v>
      </c>
      <c r="D30" s="55">
        <f>IF(F29+SUM(E$17:E29)=D$10,F29,D$10-SUM(E$17:E29))</f>
        <v>2434918.4917379566</v>
      </c>
      <c r="E30" s="354">
        <f>IF(+I14&lt;F29,I14,D30)</f>
        <v>86993.868421052626</v>
      </c>
      <c r="F30" s="55">
        <f t="shared" ref="F30:F48" si="26">+D30-E30</f>
        <v>2347924.6233169041</v>
      </c>
      <c r="G30" s="355">
        <f t="shared" ref="G30:G49" si="27">ROUND(I$12*F30,0)+E30</f>
        <v>362646.86842105264</v>
      </c>
      <c r="H30" s="337">
        <f t="shared" ref="H30:H49" si="28">ROUND(I$13*F30,0)+E30</f>
        <v>362646.86842105264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6"/>
        <v/>
      </c>
      <c r="C31" s="50">
        <f>IF(D11="","-",+C30+1)</f>
        <v>2027</v>
      </c>
      <c r="D31" s="55">
        <f>IF(F30+SUM(E$17:E30)=D$10,F30,D$10-SUM(E$17:E30))</f>
        <v>2347924.6233169041</v>
      </c>
      <c r="E31" s="354">
        <f>IF(+I14&lt;F30,I14,D31)</f>
        <v>86993.868421052626</v>
      </c>
      <c r="F31" s="55">
        <f t="shared" si="26"/>
        <v>2260930.7548958515</v>
      </c>
      <c r="G31" s="355">
        <f t="shared" si="27"/>
        <v>352432.86842105264</v>
      </c>
      <c r="H31" s="337">
        <f t="shared" si="28"/>
        <v>352432.86842105264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6"/>
        <v/>
      </c>
      <c r="C32" s="50">
        <f>IF(D11="","-",+C31+1)</f>
        <v>2028</v>
      </c>
      <c r="D32" s="55">
        <f>IF(F31+SUM(E$17:E31)=D$10,F31,D$10-SUM(E$17:E31))</f>
        <v>2260930.7548958515</v>
      </c>
      <c r="E32" s="354">
        <f>IF(+I14&lt;F31,I14,D32)</f>
        <v>86993.868421052626</v>
      </c>
      <c r="F32" s="55">
        <f t="shared" si="26"/>
        <v>2173936.8864747989</v>
      </c>
      <c r="G32" s="355">
        <f t="shared" si="27"/>
        <v>342219.86842105264</v>
      </c>
      <c r="H32" s="337">
        <f t="shared" si="28"/>
        <v>342219.86842105264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6"/>
        <v/>
      </c>
      <c r="C33" s="50">
        <f>IF(D11="","-",+C32+1)</f>
        <v>2029</v>
      </c>
      <c r="D33" s="55">
        <f>IF(F32+SUM(E$17:E32)=D$10,F32,D$10-SUM(E$17:E32))</f>
        <v>2173936.8864747989</v>
      </c>
      <c r="E33" s="354">
        <f>IF(+I14&lt;F32,I14,D33)</f>
        <v>86993.868421052626</v>
      </c>
      <c r="F33" s="55">
        <f t="shared" si="26"/>
        <v>2086943.0180537463</v>
      </c>
      <c r="G33" s="355">
        <f t="shared" si="27"/>
        <v>332006.86842105264</v>
      </c>
      <c r="H33" s="337">
        <f t="shared" si="28"/>
        <v>332006.86842105264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2030</v>
      </c>
      <c r="D34" s="55">
        <f>IF(F33+SUM(E$17:E33)=D$10,F33,D$10-SUM(E$17:E33))</f>
        <v>2086943.0180537463</v>
      </c>
      <c r="E34" s="354">
        <f>IF(+I14&lt;F33,I14,D34)</f>
        <v>86993.868421052626</v>
      </c>
      <c r="F34" s="55">
        <f t="shared" si="26"/>
        <v>1999949.1496326937</v>
      </c>
      <c r="G34" s="355">
        <f t="shared" si="27"/>
        <v>321792.86842105264</v>
      </c>
      <c r="H34" s="337">
        <f t="shared" si="28"/>
        <v>321792.86842105264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2031</v>
      </c>
      <c r="D35" s="55">
        <f>IF(F34+SUM(E$17:E34)=D$10,F34,D$10-SUM(E$17:E34))</f>
        <v>1999949.1496326937</v>
      </c>
      <c r="E35" s="354">
        <f>IF(+I14&lt;F34,I14,D35)</f>
        <v>86993.868421052626</v>
      </c>
      <c r="F35" s="55">
        <f t="shared" si="26"/>
        <v>1912955.2812116412</v>
      </c>
      <c r="G35" s="355">
        <f t="shared" si="27"/>
        <v>311579.86842105264</v>
      </c>
      <c r="H35" s="337">
        <f t="shared" si="28"/>
        <v>311579.86842105264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2032</v>
      </c>
      <c r="D36" s="55">
        <f>IF(F35+SUM(E$17:E35)=D$10,F35,D$10-SUM(E$17:E35))</f>
        <v>1912955.2812116412</v>
      </c>
      <c r="E36" s="354">
        <f>IF(+I14&lt;F35,I14,D36)</f>
        <v>86993.868421052626</v>
      </c>
      <c r="F36" s="55">
        <f t="shared" si="26"/>
        <v>1825961.4127905886</v>
      </c>
      <c r="G36" s="355">
        <f t="shared" si="27"/>
        <v>301366.86842105264</v>
      </c>
      <c r="H36" s="337">
        <f t="shared" si="28"/>
        <v>301366.86842105264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2033</v>
      </c>
      <c r="D37" s="55">
        <f>IF(F36+SUM(E$17:E36)=D$10,F36,D$10-SUM(E$17:E36))</f>
        <v>1825961.4127905886</v>
      </c>
      <c r="E37" s="354">
        <f>IF(+I14&lt;F36,I14,D37)</f>
        <v>86993.868421052626</v>
      </c>
      <c r="F37" s="55">
        <f t="shared" si="26"/>
        <v>1738967.544369536</v>
      </c>
      <c r="G37" s="355">
        <f t="shared" si="27"/>
        <v>291152.86842105264</v>
      </c>
      <c r="H37" s="337">
        <f t="shared" si="28"/>
        <v>291152.86842105264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2034</v>
      </c>
      <c r="D38" s="55">
        <f>IF(F37+SUM(E$17:E37)=D$10,F37,D$10-SUM(E$17:E37))</f>
        <v>1738967.544369536</v>
      </c>
      <c r="E38" s="354">
        <f>IF(+I14&lt;F37,I14,D38)</f>
        <v>86993.868421052626</v>
      </c>
      <c r="F38" s="55">
        <f t="shared" si="26"/>
        <v>1651973.6759484834</v>
      </c>
      <c r="G38" s="355">
        <f t="shared" si="27"/>
        <v>280939.86842105264</v>
      </c>
      <c r="H38" s="337">
        <f t="shared" si="28"/>
        <v>280939.86842105264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2035</v>
      </c>
      <c r="D39" s="55">
        <f>IF(F38+SUM(E$17:E38)=D$10,F38,D$10-SUM(E$17:E38))</f>
        <v>1651973.6759484834</v>
      </c>
      <c r="E39" s="354">
        <f>IF(+I14&lt;F38,I14,D39)</f>
        <v>86993.868421052626</v>
      </c>
      <c r="F39" s="55">
        <f t="shared" si="26"/>
        <v>1564979.8075274308</v>
      </c>
      <c r="G39" s="355">
        <f t="shared" si="27"/>
        <v>270726.86842105264</v>
      </c>
      <c r="H39" s="337">
        <f t="shared" si="28"/>
        <v>270726.86842105264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2036</v>
      </c>
      <c r="D40" s="55">
        <f>IF(F39+SUM(E$17:E39)=D$10,F39,D$10-SUM(E$17:E39))</f>
        <v>1564979.8075274308</v>
      </c>
      <c r="E40" s="354">
        <f>IF(+I14&lt;F39,I14,D40)</f>
        <v>86993.868421052626</v>
      </c>
      <c r="F40" s="55">
        <f t="shared" si="26"/>
        <v>1477985.9391063782</v>
      </c>
      <c r="G40" s="355">
        <f t="shared" si="27"/>
        <v>260513.86842105264</v>
      </c>
      <c r="H40" s="337">
        <f t="shared" si="28"/>
        <v>260513.86842105264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2037</v>
      </c>
      <c r="D41" s="55">
        <f>IF(F40+SUM(E$17:E40)=D$10,F40,D$10-SUM(E$17:E40))</f>
        <v>1477985.9391063782</v>
      </c>
      <c r="E41" s="354">
        <f>IF(+I14&lt;F40,I14,D41)</f>
        <v>86993.868421052626</v>
      </c>
      <c r="F41" s="55">
        <f t="shared" si="26"/>
        <v>1390992.0706853257</v>
      </c>
      <c r="G41" s="355">
        <f t="shared" si="27"/>
        <v>250299.86842105264</v>
      </c>
      <c r="H41" s="337">
        <f t="shared" si="28"/>
        <v>250299.86842105264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2038</v>
      </c>
      <c r="D42" s="55">
        <f>IF(F41+SUM(E$17:E41)=D$10,F41,D$10-SUM(E$17:E41))</f>
        <v>1390992.0706853257</v>
      </c>
      <c r="E42" s="354">
        <f>IF(+I14&lt;F41,I14,D42)</f>
        <v>86993.868421052626</v>
      </c>
      <c r="F42" s="55">
        <f t="shared" si="26"/>
        <v>1303998.2022642731</v>
      </c>
      <c r="G42" s="355">
        <f t="shared" si="27"/>
        <v>240086.86842105264</v>
      </c>
      <c r="H42" s="337">
        <f t="shared" si="28"/>
        <v>240086.86842105264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2039</v>
      </c>
      <c r="D43" s="55">
        <f>IF(F42+SUM(E$17:E42)=D$10,F42,D$10-SUM(E$17:E42))</f>
        <v>1303998.2022642731</v>
      </c>
      <c r="E43" s="354">
        <f>IF(+I14&lt;F42,I14,D43)</f>
        <v>86993.868421052626</v>
      </c>
      <c r="F43" s="55">
        <f t="shared" si="26"/>
        <v>1217004.3338432205</v>
      </c>
      <c r="G43" s="355">
        <f t="shared" si="27"/>
        <v>229873.86842105264</v>
      </c>
      <c r="H43" s="337">
        <f t="shared" si="28"/>
        <v>229873.86842105264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2040</v>
      </c>
      <c r="D44" s="55">
        <f>IF(F43+SUM(E$17:E43)=D$10,F43,D$10-SUM(E$17:E43))</f>
        <v>1217004.3338432205</v>
      </c>
      <c r="E44" s="354">
        <f>IF(+I14&lt;F43,I14,D44)</f>
        <v>86993.868421052626</v>
      </c>
      <c r="F44" s="55">
        <f t="shared" si="26"/>
        <v>1130010.4654221679</v>
      </c>
      <c r="G44" s="355">
        <f t="shared" si="27"/>
        <v>219659.86842105264</v>
      </c>
      <c r="H44" s="337">
        <f t="shared" si="28"/>
        <v>219659.86842105264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2041</v>
      </c>
      <c r="D45" s="55">
        <f>IF(F44+SUM(E$17:E44)=D$10,F44,D$10-SUM(E$17:E44))</f>
        <v>1130010.4654221679</v>
      </c>
      <c r="E45" s="354">
        <f>IF(+I14&lt;F44,I14,D45)</f>
        <v>86993.868421052626</v>
      </c>
      <c r="F45" s="55">
        <f t="shared" si="26"/>
        <v>1043016.5970011153</v>
      </c>
      <c r="G45" s="355">
        <f t="shared" si="27"/>
        <v>209446.86842105264</v>
      </c>
      <c r="H45" s="337">
        <f t="shared" si="28"/>
        <v>209446.86842105264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2042</v>
      </c>
      <c r="D46" s="55">
        <f>IF(F45+SUM(E$17:E45)=D$10,F45,D$10-SUM(E$17:E45))</f>
        <v>1043016.5970011153</v>
      </c>
      <c r="E46" s="354">
        <f>IF(+I14&lt;F45,I14,D46)</f>
        <v>86993.868421052626</v>
      </c>
      <c r="F46" s="55">
        <f t="shared" si="26"/>
        <v>956022.72858006274</v>
      </c>
      <c r="G46" s="355">
        <f t="shared" si="27"/>
        <v>199233.86842105264</v>
      </c>
      <c r="H46" s="337">
        <f t="shared" si="28"/>
        <v>199233.86842105264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2043</v>
      </c>
      <c r="D47" s="55">
        <f>IF(F46+SUM(E$17:E46)=D$10,F46,D$10-SUM(E$17:E46))</f>
        <v>956022.72858006274</v>
      </c>
      <c r="E47" s="354">
        <f>IF(+I14&lt;F46,I14,D47)</f>
        <v>86993.868421052626</v>
      </c>
      <c r="F47" s="55">
        <f t="shared" si="26"/>
        <v>869028.86015901016</v>
      </c>
      <c r="G47" s="355">
        <f t="shared" si="27"/>
        <v>189019.86842105264</v>
      </c>
      <c r="H47" s="337">
        <f t="shared" si="28"/>
        <v>189019.86842105264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2044</v>
      </c>
      <c r="D48" s="55">
        <f>IF(F47+SUM(E$17:E47)=D$10,F47,D$10-SUM(E$17:E47))</f>
        <v>869028.86015901016</v>
      </c>
      <c r="E48" s="354">
        <f>IF(+I14&lt;F47,I14,D48)</f>
        <v>86993.868421052626</v>
      </c>
      <c r="F48" s="55">
        <f t="shared" si="26"/>
        <v>782034.99173795758</v>
      </c>
      <c r="G48" s="355">
        <f t="shared" si="27"/>
        <v>178806.86842105264</v>
      </c>
      <c r="H48" s="337">
        <f t="shared" si="28"/>
        <v>178806.86842105264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6"/>
        <v/>
      </c>
      <c r="C49" s="50">
        <f>IF(D11="","-",+C48+1)</f>
        <v>2045</v>
      </c>
      <c r="D49" s="55">
        <f>IF(F48+SUM(E$17:E48)=D$10,F48,D$10-SUM(E$17:E48))</f>
        <v>782034.99173795758</v>
      </c>
      <c r="E49" s="354">
        <f>IF(+I14&lt;F48,I14,D49)</f>
        <v>86993.868421052626</v>
      </c>
      <c r="F49" s="55">
        <f t="shared" ref="F49:F72" si="29">+D49-E49</f>
        <v>695041.123316905</v>
      </c>
      <c r="G49" s="355">
        <f t="shared" si="27"/>
        <v>168593.86842105264</v>
      </c>
      <c r="H49" s="337">
        <f t="shared" si="28"/>
        <v>168593.86842105264</v>
      </c>
      <c r="I49" s="52">
        <f t="shared" ref="I49:I72" si="30">H49-G49</f>
        <v>0</v>
      </c>
      <c r="J49" s="52"/>
      <c r="K49" s="115"/>
      <c r="L49" s="54">
        <f t="shared" ref="L49:L72" si="31">IF(K49&lt;&gt;0,+G49-K49,0)</f>
        <v>0</v>
      </c>
      <c r="M49" s="115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22" ht="12.5">
      <c r="B50" s="7" t="str">
        <f t="shared" ref="B50:B72" si="34">IF(D50=F49,"","IU")</f>
        <v/>
      </c>
      <c r="C50" s="50">
        <f>IF(D11="","-",+C49+1)</f>
        <v>2046</v>
      </c>
      <c r="D50" s="55">
        <f>IF(F49+SUM(E$17:E49)=D$10,F49,D$10-SUM(E$17:E49))</f>
        <v>695041.123316905</v>
      </c>
      <c r="E50" s="354">
        <f>IF(+I14&lt;F49,I14,D50)</f>
        <v>86993.868421052626</v>
      </c>
      <c r="F50" s="55">
        <f t="shared" si="29"/>
        <v>608047.25489585241</v>
      </c>
      <c r="G50" s="355">
        <f t="shared" ref="G50:G72" si="35">ROUND(I$12*F50,0)+E50</f>
        <v>158379.86842105264</v>
      </c>
      <c r="H50" s="337">
        <f t="shared" ref="H50:H72" si="36">ROUND(I$13*F50,0)+E50</f>
        <v>158379.86842105264</v>
      </c>
      <c r="I50" s="52">
        <f t="shared" si="30"/>
        <v>0</v>
      </c>
      <c r="J50" s="52"/>
      <c r="K50" s="115"/>
      <c r="L50" s="54">
        <f t="shared" si="31"/>
        <v>0</v>
      </c>
      <c r="M50" s="115"/>
      <c r="N50" s="54">
        <f t="shared" si="32"/>
        <v>0</v>
      </c>
      <c r="O50" s="54">
        <f t="shared" si="33"/>
        <v>0</v>
      </c>
      <c r="P50" s="1"/>
    </row>
    <row r="51" spans="2:22" ht="12.5">
      <c r="B51" s="7" t="str">
        <f t="shared" si="34"/>
        <v/>
      </c>
      <c r="C51" s="50">
        <f>IF(D11="","-",+C50+1)</f>
        <v>2047</v>
      </c>
      <c r="D51" s="55">
        <f>IF(F50+SUM(E$17:E50)=D$10,F50,D$10-SUM(E$17:E50))</f>
        <v>608047.25489585241</v>
      </c>
      <c r="E51" s="354">
        <f>IF(+I14&lt;F50,I14,D51)</f>
        <v>86993.868421052626</v>
      </c>
      <c r="F51" s="55">
        <f t="shared" si="29"/>
        <v>521053.38647479977</v>
      </c>
      <c r="G51" s="355">
        <f t="shared" si="35"/>
        <v>148166.86842105264</v>
      </c>
      <c r="H51" s="337">
        <f t="shared" si="36"/>
        <v>148166.86842105264</v>
      </c>
      <c r="I51" s="52">
        <f t="shared" si="30"/>
        <v>0</v>
      </c>
      <c r="J51" s="52"/>
      <c r="K51" s="115"/>
      <c r="L51" s="54">
        <f t="shared" si="31"/>
        <v>0</v>
      </c>
      <c r="M51" s="115"/>
      <c r="N51" s="54">
        <f t="shared" si="32"/>
        <v>0</v>
      </c>
      <c r="O51" s="54">
        <f t="shared" si="33"/>
        <v>0</v>
      </c>
      <c r="P51" s="1"/>
      <c r="V51" t="s">
        <v>455</v>
      </c>
    </row>
    <row r="52" spans="2:22" ht="12.5">
      <c r="B52" s="7" t="str">
        <f t="shared" si="34"/>
        <v/>
      </c>
      <c r="C52" s="50">
        <f>IF(D11="","-",+C51+1)</f>
        <v>2048</v>
      </c>
      <c r="D52" s="55">
        <f>IF(F51+SUM(E$17:E51)=D$10,F51,D$10-SUM(E$17:E51))</f>
        <v>521053.38647479977</v>
      </c>
      <c r="E52" s="354">
        <f>IF(+I14&lt;F51,I14,D52)</f>
        <v>86993.868421052626</v>
      </c>
      <c r="F52" s="55">
        <f t="shared" si="29"/>
        <v>434059.51805374713</v>
      </c>
      <c r="G52" s="355">
        <f t="shared" si="35"/>
        <v>137953.86842105264</v>
      </c>
      <c r="H52" s="337">
        <f t="shared" si="36"/>
        <v>137953.86842105264</v>
      </c>
      <c r="I52" s="52">
        <f t="shared" si="30"/>
        <v>0</v>
      </c>
      <c r="J52" s="52"/>
      <c r="K52" s="115"/>
      <c r="L52" s="54">
        <f t="shared" si="31"/>
        <v>0</v>
      </c>
      <c r="M52" s="115"/>
      <c r="N52" s="54">
        <f t="shared" si="32"/>
        <v>0</v>
      </c>
      <c r="O52" s="54">
        <f t="shared" si="33"/>
        <v>0</v>
      </c>
      <c r="P52" s="1"/>
    </row>
    <row r="53" spans="2:22" ht="12.5">
      <c r="B53" s="7" t="str">
        <f t="shared" si="34"/>
        <v/>
      </c>
      <c r="C53" s="50">
        <f>IF(D11="","-",+C52+1)</f>
        <v>2049</v>
      </c>
      <c r="D53" s="55">
        <f>IF(F52+SUM(E$17:E52)=D$10,F52,D$10-SUM(E$17:E52))</f>
        <v>434059.51805374713</v>
      </c>
      <c r="E53" s="354">
        <f>IF(+I14&lt;F52,I14,D53)</f>
        <v>86993.868421052626</v>
      </c>
      <c r="F53" s="55">
        <f t="shared" si="29"/>
        <v>347065.64963269449</v>
      </c>
      <c r="G53" s="355">
        <f t="shared" si="35"/>
        <v>127739.86842105263</v>
      </c>
      <c r="H53" s="337">
        <f t="shared" si="36"/>
        <v>127739.86842105263</v>
      </c>
      <c r="I53" s="52">
        <f t="shared" si="30"/>
        <v>0</v>
      </c>
      <c r="J53" s="52"/>
      <c r="K53" s="115"/>
      <c r="L53" s="54">
        <f t="shared" si="31"/>
        <v>0</v>
      </c>
      <c r="M53" s="115"/>
      <c r="N53" s="54">
        <f t="shared" si="32"/>
        <v>0</v>
      </c>
      <c r="O53" s="54">
        <f t="shared" si="33"/>
        <v>0</v>
      </c>
      <c r="P53" s="1"/>
    </row>
    <row r="54" spans="2:22" ht="12.5">
      <c r="B54" s="7" t="str">
        <f t="shared" si="34"/>
        <v/>
      </c>
      <c r="C54" s="50">
        <f>IF(D11="","-",+C53+1)</f>
        <v>2050</v>
      </c>
      <c r="D54" s="55">
        <f>IF(F53+SUM(E$17:E53)=D$10,F53,D$10-SUM(E$17:E53))</f>
        <v>347065.64963269449</v>
      </c>
      <c r="E54" s="354">
        <f>IF(+I14&lt;F53,I14,D54)</f>
        <v>86993.868421052626</v>
      </c>
      <c r="F54" s="55">
        <f t="shared" si="29"/>
        <v>260071.78121164185</v>
      </c>
      <c r="G54" s="355">
        <f t="shared" si="35"/>
        <v>117526.86842105263</v>
      </c>
      <c r="H54" s="337">
        <f t="shared" si="36"/>
        <v>117526.86842105263</v>
      </c>
      <c r="I54" s="52">
        <f t="shared" si="30"/>
        <v>0</v>
      </c>
      <c r="J54" s="52"/>
      <c r="K54" s="115"/>
      <c r="L54" s="54">
        <f t="shared" si="31"/>
        <v>0</v>
      </c>
      <c r="M54" s="115"/>
      <c r="N54" s="54">
        <f t="shared" si="32"/>
        <v>0</v>
      </c>
      <c r="O54" s="54">
        <f t="shared" si="33"/>
        <v>0</v>
      </c>
      <c r="P54" s="1"/>
    </row>
    <row r="55" spans="2:22" ht="12.5">
      <c r="B55" s="7" t="str">
        <f t="shared" si="34"/>
        <v/>
      </c>
      <c r="C55" s="50">
        <f>IF(D11="","-",+C54+1)</f>
        <v>2051</v>
      </c>
      <c r="D55" s="55">
        <f>IF(F54+SUM(E$17:E54)=D$10,F54,D$10-SUM(E$17:E54))</f>
        <v>260071.78121164185</v>
      </c>
      <c r="E55" s="354">
        <f>IF(+I14&lt;F54,I14,D55)</f>
        <v>86993.868421052626</v>
      </c>
      <c r="F55" s="55">
        <f t="shared" si="29"/>
        <v>173077.91279058921</v>
      </c>
      <c r="G55" s="355">
        <f t="shared" si="35"/>
        <v>107313.86842105263</v>
      </c>
      <c r="H55" s="337">
        <f t="shared" si="36"/>
        <v>107313.86842105263</v>
      </c>
      <c r="I55" s="52">
        <f t="shared" si="30"/>
        <v>0</v>
      </c>
      <c r="J55" s="52"/>
      <c r="K55" s="115"/>
      <c r="L55" s="54">
        <f t="shared" si="31"/>
        <v>0</v>
      </c>
      <c r="M55" s="115"/>
      <c r="N55" s="54">
        <f t="shared" si="32"/>
        <v>0</v>
      </c>
      <c r="O55" s="54">
        <f t="shared" si="33"/>
        <v>0</v>
      </c>
      <c r="P55" s="1"/>
    </row>
    <row r="56" spans="2:22" ht="12.5">
      <c r="B56" s="7" t="str">
        <f t="shared" si="34"/>
        <v/>
      </c>
      <c r="C56" s="50">
        <f>IF(D11="","-",+C55+1)</f>
        <v>2052</v>
      </c>
      <c r="D56" s="55">
        <f>IF(F55+SUM(E$17:E55)=D$10,F55,D$10-SUM(E$17:E55))</f>
        <v>173077.91279058921</v>
      </c>
      <c r="E56" s="354">
        <f>IF(+I14&lt;F55,I14,D56)</f>
        <v>86993.868421052626</v>
      </c>
      <c r="F56" s="55">
        <f t="shared" si="29"/>
        <v>86084.044369536583</v>
      </c>
      <c r="G56" s="355">
        <f t="shared" si="35"/>
        <v>97099.868421052626</v>
      </c>
      <c r="H56" s="337">
        <f t="shared" si="36"/>
        <v>97099.868421052626</v>
      </c>
      <c r="I56" s="52">
        <f t="shared" si="30"/>
        <v>0</v>
      </c>
      <c r="J56" s="52"/>
      <c r="K56" s="115"/>
      <c r="L56" s="54">
        <f t="shared" si="31"/>
        <v>0</v>
      </c>
      <c r="M56" s="115"/>
      <c r="N56" s="54">
        <f t="shared" si="32"/>
        <v>0</v>
      </c>
      <c r="O56" s="54">
        <f t="shared" si="33"/>
        <v>0</v>
      </c>
      <c r="P56" s="1"/>
    </row>
    <row r="57" spans="2:22" ht="12.5">
      <c r="B57" s="7" t="str">
        <f t="shared" si="34"/>
        <v/>
      </c>
      <c r="C57" s="50">
        <f>IF(D11="","-",+C56+1)</f>
        <v>2053</v>
      </c>
      <c r="D57" s="55">
        <f>IF(F56+SUM(E$17:E56)=D$10,F56,D$10-SUM(E$17:E56))</f>
        <v>86084.044369536583</v>
      </c>
      <c r="E57" s="354">
        <f>IF(+I14&lt;F56,I14,D57)</f>
        <v>86084.044369536583</v>
      </c>
      <c r="F57" s="55">
        <f t="shared" si="29"/>
        <v>0</v>
      </c>
      <c r="G57" s="355">
        <f t="shared" si="35"/>
        <v>86084.044369536583</v>
      </c>
      <c r="H57" s="337">
        <f t="shared" si="36"/>
        <v>86084.044369536583</v>
      </c>
      <c r="I57" s="52">
        <f t="shared" si="30"/>
        <v>0</v>
      </c>
      <c r="J57" s="52"/>
      <c r="K57" s="115"/>
      <c r="L57" s="54">
        <f t="shared" si="31"/>
        <v>0</v>
      </c>
      <c r="M57" s="115"/>
      <c r="N57" s="54">
        <f t="shared" si="32"/>
        <v>0</v>
      </c>
      <c r="O57" s="54">
        <f t="shared" si="33"/>
        <v>0</v>
      </c>
      <c r="P57" s="1"/>
    </row>
    <row r="58" spans="2:22" ht="12.5">
      <c r="B58" s="7" t="str">
        <f t="shared" si="34"/>
        <v/>
      </c>
      <c r="C58" s="50">
        <f>IF(D11="","-",+C57+1)</f>
        <v>2054</v>
      </c>
      <c r="D58" s="55">
        <f>IF(F57+SUM(E$17:E57)=D$10,F57,D$10-SUM(E$17:E57))</f>
        <v>0</v>
      </c>
      <c r="E58" s="354">
        <f>IF(+I14&lt;F57,I14,D58)</f>
        <v>0</v>
      </c>
      <c r="F58" s="55">
        <f t="shared" si="29"/>
        <v>0</v>
      </c>
      <c r="G58" s="355">
        <f t="shared" si="35"/>
        <v>0</v>
      </c>
      <c r="H58" s="337">
        <f t="shared" si="36"/>
        <v>0</v>
      </c>
      <c r="I58" s="52">
        <f t="shared" si="30"/>
        <v>0</v>
      </c>
      <c r="J58" s="52"/>
      <c r="K58" s="115"/>
      <c r="L58" s="54">
        <f t="shared" si="31"/>
        <v>0</v>
      </c>
      <c r="M58" s="115"/>
      <c r="N58" s="54">
        <f t="shared" si="32"/>
        <v>0</v>
      </c>
      <c r="O58" s="54">
        <f t="shared" si="33"/>
        <v>0</v>
      </c>
      <c r="P58" s="1"/>
    </row>
    <row r="59" spans="2:22" ht="12.5">
      <c r="B59" s="7" t="str">
        <f t="shared" si="34"/>
        <v/>
      </c>
      <c r="C59" s="50">
        <f>IF(D11="","-",+C58+1)</f>
        <v>2055</v>
      </c>
      <c r="D59" s="55">
        <f>IF(F58+SUM(E$17:E58)=D$10,F58,D$10-SUM(E$17:E58))</f>
        <v>0</v>
      </c>
      <c r="E59" s="354">
        <f>IF(+I14&lt;F58,I14,D59)</f>
        <v>0</v>
      </c>
      <c r="F59" s="55">
        <f t="shared" si="29"/>
        <v>0</v>
      </c>
      <c r="G59" s="355">
        <f t="shared" si="35"/>
        <v>0</v>
      </c>
      <c r="H59" s="337">
        <f t="shared" si="36"/>
        <v>0</v>
      </c>
      <c r="I59" s="52">
        <f t="shared" si="30"/>
        <v>0</v>
      </c>
      <c r="J59" s="52"/>
      <c r="K59" s="115"/>
      <c r="L59" s="54">
        <f t="shared" si="31"/>
        <v>0</v>
      </c>
      <c r="M59" s="115"/>
      <c r="N59" s="54">
        <f t="shared" si="32"/>
        <v>0</v>
      </c>
      <c r="O59" s="54">
        <f t="shared" si="33"/>
        <v>0</v>
      </c>
      <c r="P59" s="1"/>
    </row>
    <row r="60" spans="2:22" ht="12.5">
      <c r="B60" s="7" t="str">
        <f t="shared" si="34"/>
        <v/>
      </c>
      <c r="C60" s="50">
        <f>IF(D11="","-",+C59+1)</f>
        <v>2056</v>
      </c>
      <c r="D60" s="55">
        <f>IF(F59+SUM(E$17:E59)=D$10,F59,D$10-SUM(E$17:E59))</f>
        <v>0</v>
      </c>
      <c r="E60" s="354">
        <f>IF(+I14&lt;F59,I14,D60)</f>
        <v>0</v>
      </c>
      <c r="F60" s="55">
        <f t="shared" si="29"/>
        <v>0</v>
      </c>
      <c r="G60" s="355">
        <f t="shared" si="35"/>
        <v>0</v>
      </c>
      <c r="H60" s="337">
        <f t="shared" si="36"/>
        <v>0</v>
      </c>
      <c r="I60" s="52">
        <f t="shared" si="30"/>
        <v>0</v>
      </c>
      <c r="J60" s="52"/>
      <c r="K60" s="115"/>
      <c r="L60" s="54">
        <f t="shared" si="31"/>
        <v>0</v>
      </c>
      <c r="M60" s="115"/>
      <c r="N60" s="54">
        <f t="shared" si="32"/>
        <v>0</v>
      </c>
      <c r="O60" s="54">
        <f t="shared" si="33"/>
        <v>0</v>
      </c>
      <c r="P60" s="1"/>
    </row>
    <row r="61" spans="2:22" ht="12.5">
      <c r="B61" s="7" t="str">
        <f t="shared" si="34"/>
        <v/>
      </c>
      <c r="C61" s="50">
        <f>IF(D11="","-",+C60+1)</f>
        <v>2057</v>
      </c>
      <c r="D61" s="55">
        <f>IF(F60+SUM(E$17:E60)=D$10,F60,D$10-SUM(E$17:E60))</f>
        <v>0</v>
      </c>
      <c r="E61" s="354">
        <f>IF(+I14&lt;F60,I14,D61)</f>
        <v>0</v>
      </c>
      <c r="F61" s="55">
        <f t="shared" si="29"/>
        <v>0</v>
      </c>
      <c r="G61" s="356">
        <f t="shared" si="35"/>
        <v>0</v>
      </c>
      <c r="H61" s="337">
        <f t="shared" si="36"/>
        <v>0</v>
      </c>
      <c r="I61" s="52">
        <f t="shared" si="30"/>
        <v>0</v>
      </c>
      <c r="J61" s="52"/>
      <c r="K61" s="115"/>
      <c r="L61" s="54">
        <f t="shared" si="31"/>
        <v>0</v>
      </c>
      <c r="M61" s="115"/>
      <c r="N61" s="54">
        <f t="shared" si="32"/>
        <v>0</v>
      </c>
      <c r="O61" s="54">
        <f t="shared" si="33"/>
        <v>0</v>
      </c>
      <c r="P61" s="1"/>
    </row>
    <row r="62" spans="2:22" ht="12.5">
      <c r="B62" s="7" t="str">
        <f t="shared" si="34"/>
        <v/>
      </c>
      <c r="C62" s="50">
        <f>IF(D11="","-",+C61+1)</f>
        <v>2058</v>
      </c>
      <c r="D62" s="55">
        <f>IF(F61+SUM(E$17:E61)=D$10,F61,D$10-SUM(E$17:E61))</f>
        <v>0</v>
      </c>
      <c r="E62" s="354">
        <f>IF(+I14&lt;F61,I14,D62)</f>
        <v>0</v>
      </c>
      <c r="F62" s="55">
        <f t="shared" si="29"/>
        <v>0</v>
      </c>
      <c r="G62" s="356">
        <f t="shared" si="35"/>
        <v>0</v>
      </c>
      <c r="H62" s="337">
        <f t="shared" si="36"/>
        <v>0</v>
      </c>
      <c r="I62" s="52">
        <f t="shared" si="30"/>
        <v>0</v>
      </c>
      <c r="J62" s="52"/>
      <c r="K62" s="115"/>
      <c r="L62" s="54">
        <f t="shared" si="31"/>
        <v>0</v>
      </c>
      <c r="M62" s="115"/>
      <c r="N62" s="54">
        <f t="shared" si="32"/>
        <v>0</v>
      </c>
      <c r="O62" s="54">
        <f t="shared" si="33"/>
        <v>0</v>
      </c>
      <c r="P62" s="1"/>
    </row>
    <row r="63" spans="2:22" ht="12.5">
      <c r="B63" s="7" t="str">
        <f t="shared" si="34"/>
        <v/>
      </c>
      <c r="C63" s="50">
        <f>IF(D11="","-",+C62+1)</f>
        <v>2059</v>
      </c>
      <c r="D63" s="55">
        <f>IF(F62+SUM(E$17:E62)=D$10,F62,D$10-SUM(E$17:E62))</f>
        <v>0</v>
      </c>
      <c r="E63" s="354">
        <f>IF(+I14&lt;F62,I14,D63)</f>
        <v>0</v>
      </c>
      <c r="F63" s="55">
        <f t="shared" si="29"/>
        <v>0</v>
      </c>
      <c r="G63" s="356">
        <f t="shared" si="35"/>
        <v>0</v>
      </c>
      <c r="H63" s="337">
        <f t="shared" si="36"/>
        <v>0</v>
      </c>
      <c r="I63" s="52">
        <f t="shared" si="30"/>
        <v>0</v>
      </c>
      <c r="J63" s="52"/>
      <c r="K63" s="115"/>
      <c r="L63" s="54">
        <f t="shared" si="31"/>
        <v>0</v>
      </c>
      <c r="M63" s="115"/>
      <c r="N63" s="54">
        <f t="shared" si="32"/>
        <v>0</v>
      </c>
      <c r="O63" s="54">
        <f t="shared" si="33"/>
        <v>0</v>
      </c>
      <c r="P63" s="1"/>
    </row>
    <row r="64" spans="2:22" ht="12.5">
      <c r="B64" s="7" t="str">
        <f t="shared" si="34"/>
        <v/>
      </c>
      <c r="C64" s="50">
        <f>IF(D11="","-",+C63+1)</f>
        <v>2060</v>
      </c>
      <c r="D64" s="55">
        <f>IF(F63+SUM(E$17:E63)=D$10,F63,D$10-SUM(E$17:E63))</f>
        <v>0</v>
      </c>
      <c r="E64" s="354">
        <f>IF(+I14&lt;F63,I14,D64)</f>
        <v>0</v>
      </c>
      <c r="F64" s="55">
        <f t="shared" si="29"/>
        <v>0</v>
      </c>
      <c r="G64" s="356">
        <f t="shared" si="35"/>
        <v>0</v>
      </c>
      <c r="H64" s="337">
        <f t="shared" si="36"/>
        <v>0</v>
      </c>
      <c r="I64" s="52">
        <f t="shared" si="30"/>
        <v>0</v>
      </c>
      <c r="J64" s="52"/>
      <c r="K64" s="115"/>
      <c r="L64" s="54">
        <f t="shared" si="31"/>
        <v>0</v>
      </c>
      <c r="M64" s="115"/>
      <c r="N64" s="54">
        <f t="shared" si="32"/>
        <v>0</v>
      </c>
      <c r="O64" s="54">
        <f t="shared" si="33"/>
        <v>0</v>
      </c>
      <c r="P64" s="1"/>
    </row>
    <row r="65" spans="2:16" ht="12.5">
      <c r="B65" s="7" t="str">
        <f t="shared" si="34"/>
        <v/>
      </c>
      <c r="C65" s="50">
        <f>IF(D11="","-",+C64+1)</f>
        <v>2061</v>
      </c>
      <c r="D65" s="55">
        <f>IF(F64+SUM(E$17:E64)=D$10,F64,D$10-SUM(E$17:E64))</f>
        <v>0</v>
      </c>
      <c r="E65" s="354">
        <f>IF(+I14&lt;F64,I14,D65)</f>
        <v>0</v>
      </c>
      <c r="F65" s="55">
        <f t="shared" si="29"/>
        <v>0</v>
      </c>
      <c r="G65" s="356">
        <f t="shared" si="35"/>
        <v>0</v>
      </c>
      <c r="H65" s="337">
        <f t="shared" si="36"/>
        <v>0</v>
      </c>
      <c r="I65" s="52">
        <f t="shared" si="30"/>
        <v>0</v>
      </c>
      <c r="J65" s="52"/>
      <c r="K65" s="115"/>
      <c r="L65" s="54">
        <f t="shared" si="31"/>
        <v>0</v>
      </c>
      <c r="M65" s="115"/>
      <c r="N65" s="54">
        <f t="shared" si="32"/>
        <v>0</v>
      </c>
      <c r="O65" s="54">
        <f t="shared" si="33"/>
        <v>0</v>
      </c>
      <c r="P65" s="1"/>
    </row>
    <row r="66" spans="2:16" ht="12.5">
      <c r="B66" s="7" t="str">
        <f t="shared" si="34"/>
        <v/>
      </c>
      <c r="C66" s="50">
        <f>IF(D11="","-",+C65+1)</f>
        <v>2062</v>
      </c>
      <c r="D66" s="55">
        <f>IF(F65+SUM(E$17:E65)=D$10,F65,D$10-SUM(E$17:E65))</f>
        <v>0</v>
      </c>
      <c r="E66" s="354">
        <f>IF(+I14&lt;F65,I14,D66)</f>
        <v>0</v>
      </c>
      <c r="F66" s="55">
        <f t="shared" si="29"/>
        <v>0</v>
      </c>
      <c r="G66" s="356">
        <f t="shared" si="35"/>
        <v>0</v>
      </c>
      <c r="H66" s="337">
        <f t="shared" si="36"/>
        <v>0</v>
      </c>
      <c r="I66" s="52">
        <f t="shared" si="30"/>
        <v>0</v>
      </c>
      <c r="J66" s="52"/>
      <c r="K66" s="115"/>
      <c r="L66" s="54">
        <f t="shared" si="31"/>
        <v>0</v>
      </c>
      <c r="M66" s="115"/>
      <c r="N66" s="54">
        <f t="shared" si="32"/>
        <v>0</v>
      </c>
      <c r="O66" s="54">
        <f t="shared" si="33"/>
        <v>0</v>
      </c>
      <c r="P66" s="1"/>
    </row>
    <row r="67" spans="2:16" ht="12.5">
      <c r="B67" s="7" t="str">
        <f t="shared" si="34"/>
        <v/>
      </c>
      <c r="C67" s="50">
        <f>IF(D11="","-",+C66+1)</f>
        <v>2063</v>
      </c>
      <c r="D67" s="55">
        <f>IF(F66+SUM(E$17:E66)=D$10,F66,D$10-SUM(E$17:E66))</f>
        <v>0</v>
      </c>
      <c r="E67" s="354">
        <f>IF(+I14&lt;F66,I14,D67)</f>
        <v>0</v>
      </c>
      <c r="F67" s="55">
        <f t="shared" si="29"/>
        <v>0</v>
      </c>
      <c r="G67" s="356">
        <f t="shared" si="35"/>
        <v>0</v>
      </c>
      <c r="H67" s="337">
        <f t="shared" si="36"/>
        <v>0</v>
      </c>
      <c r="I67" s="52">
        <f t="shared" si="30"/>
        <v>0</v>
      </c>
      <c r="J67" s="52"/>
      <c r="K67" s="115"/>
      <c r="L67" s="54">
        <f t="shared" si="31"/>
        <v>0</v>
      </c>
      <c r="M67" s="115"/>
      <c r="N67" s="54">
        <f t="shared" si="32"/>
        <v>0</v>
      </c>
      <c r="O67" s="54">
        <f t="shared" si="33"/>
        <v>0</v>
      </c>
      <c r="P67" s="1"/>
    </row>
    <row r="68" spans="2:16" ht="12.5">
      <c r="B68" s="7" t="str">
        <f t="shared" si="34"/>
        <v/>
      </c>
      <c r="C68" s="50">
        <f>IF(D11="","-",+C67+1)</f>
        <v>2064</v>
      </c>
      <c r="D68" s="55">
        <f>IF(F67+SUM(E$17:E67)=D$10,F67,D$10-SUM(E$17:E67))</f>
        <v>0</v>
      </c>
      <c r="E68" s="354">
        <f>IF(+I14&lt;F67,I14,D68)</f>
        <v>0</v>
      </c>
      <c r="F68" s="55">
        <f t="shared" si="29"/>
        <v>0</v>
      </c>
      <c r="G68" s="356">
        <f t="shared" si="35"/>
        <v>0</v>
      </c>
      <c r="H68" s="337">
        <f t="shared" si="36"/>
        <v>0</v>
      </c>
      <c r="I68" s="52">
        <f t="shared" si="30"/>
        <v>0</v>
      </c>
      <c r="J68" s="52"/>
      <c r="K68" s="115"/>
      <c r="L68" s="54">
        <f t="shared" si="31"/>
        <v>0</v>
      </c>
      <c r="M68" s="115"/>
      <c r="N68" s="54">
        <f t="shared" si="32"/>
        <v>0</v>
      </c>
      <c r="O68" s="54">
        <f t="shared" si="33"/>
        <v>0</v>
      </c>
      <c r="P68" s="1"/>
    </row>
    <row r="69" spans="2:16" ht="12.5">
      <c r="B69" s="7" t="str">
        <f t="shared" si="34"/>
        <v/>
      </c>
      <c r="C69" s="50">
        <f>IF(D11="","-",+C68+1)</f>
        <v>2065</v>
      </c>
      <c r="D69" s="55">
        <f>IF(F68+SUM(E$17:E68)=D$10,F68,D$10-SUM(E$17:E68))</f>
        <v>0</v>
      </c>
      <c r="E69" s="354">
        <f>IF(+I14&lt;F68,I14,D69)</f>
        <v>0</v>
      </c>
      <c r="F69" s="55">
        <f t="shared" si="29"/>
        <v>0</v>
      </c>
      <c r="G69" s="356">
        <f t="shared" si="35"/>
        <v>0</v>
      </c>
      <c r="H69" s="337">
        <f t="shared" si="36"/>
        <v>0</v>
      </c>
      <c r="I69" s="52">
        <f t="shared" si="30"/>
        <v>0</v>
      </c>
      <c r="J69" s="52"/>
      <c r="K69" s="115"/>
      <c r="L69" s="54">
        <f t="shared" si="31"/>
        <v>0</v>
      </c>
      <c r="M69" s="115"/>
      <c r="N69" s="54">
        <f t="shared" si="32"/>
        <v>0</v>
      </c>
      <c r="O69" s="54">
        <f t="shared" si="33"/>
        <v>0</v>
      </c>
      <c r="P69" s="1"/>
    </row>
    <row r="70" spans="2:16" ht="12.5">
      <c r="B70" s="7" t="str">
        <f t="shared" si="34"/>
        <v/>
      </c>
      <c r="C70" s="50">
        <f>IF(D11="","-",+C69+1)</f>
        <v>2066</v>
      </c>
      <c r="D70" s="55">
        <f>IF(F69+SUM(E$17:E69)=D$10,F69,D$10-SUM(E$17:E69))</f>
        <v>0</v>
      </c>
      <c r="E70" s="354">
        <f>IF(+I14&lt;F69,I14,D70)</f>
        <v>0</v>
      </c>
      <c r="F70" s="55">
        <f t="shared" si="29"/>
        <v>0</v>
      </c>
      <c r="G70" s="356">
        <f t="shared" si="35"/>
        <v>0</v>
      </c>
      <c r="H70" s="337">
        <f t="shared" si="36"/>
        <v>0</v>
      </c>
      <c r="I70" s="52">
        <f t="shared" si="30"/>
        <v>0</v>
      </c>
      <c r="J70" s="52"/>
      <c r="K70" s="115"/>
      <c r="L70" s="54">
        <f t="shared" si="31"/>
        <v>0</v>
      </c>
      <c r="M70" s="115"/>
      <c r="N70" s="54">
        <f t="shared" si="32"/>
        <v>0</v>
      </c>
      <c r="O70" s="54">
        <f t="shared" si="33"/>
        <v>0</v>
      </c>
      <c r="P70" s="1"/>
    </row>
    <row r="71" spans="2:16" ht="12.5">
      <c r="B71" s="7" t="str">
        <f t="shared" si="34"/>
        <v/>
      </c>
      <c r="C71" s="50">
        <f>IF(D11="","-",+C70+1)</f>
        <v>2067</v>
      </c>
      <c r="D71" s="55">
        <f>IF(F70+SUM(E$17:E70)=D$10,F70,D$10-SUM(E$17:E70))</f>
        <v>0</v>
      </c>
      <c r="E71" s="354">
        <f>IF(+I14&lt;F70,I14,D71)</f>
        <v>0</v>
      </c>
      <c r="F71" s="55">
        <f t="shared" si="29"/>
        <v>0</v>
      </c>
      <c r="G71" s="356">
        <f t="shared" si="35"/>
        <v>0</v>
      </c>
      <c r="H71" s="337">
        <f t="shared" si="36"/>
        <v>0</v>
      </c>
      <c r="I71" s="52">
        <f t="shared" si="30"/>
        <v>0</v>
      </c>
      <c r="J71" s="52"/>
      <c r="K71" s="115"/>
      <c r="L71" s="54">
        <f t="shared" si="31"/>
        <v>0</v>
      </c>
      <c r="M71" s="115"/>
      <c r="N71" s="54">
        <f t="shared" si="32"/>
        <v>0</v>
      </c>
      <c r="O71" s="54">
        <f t="shared" si="33"/>
        <v>0</v>
      </c>
      <c r="P71" s="1"/>
    </row>
    <row r="72" spans="2:16" ht="13" thickBot="1">
      <c r="B72" s="7" t="str">
        <f t="shared" si="34"/>
        <v/>
      </c>
      <c r="C72" s="58">
        <f>IF(D11="","-",+C71+1)</f>
        <v>2068</v>
      </c>
      <c r="D72" s="59">
        <f>IF(F71+SUM(E$17:E71)=D$10,F71,D$10-SUM(E$17:E71))</f>
        <v>0</v>
      </c>
      <c r="E72" s="357">
        <f>IF(+I14&lt;F71,I14,D72)</f>
        <v>0</v>
      </c>
      <c r="F72" s="59">
        <f t="shared" si="29"/>
        <v>0</v>
      </c>
      <c r="G72" s="358">
        <f t="shared" si="35"/>
        <v>0</v>
      </c>
      <c r="H72" s="335">
        <f t="shared" si="36"/>
        <v>0</v>
      </c>
      <c r="I72" s="61">
        <f t="shared" si="30"/>
        <v>0</v>
      </c>
      <c r="J72" s="52"/>
      <c r="K72" s="116"/>
      <c r="L72" s="62">
        <f t="shared" si="31"/>
        <v>0</v>
      </c>
      <c r="M72" s="116"/>
      <c r="N72" s="62">
        <f t="shared" si="32"/>
        <v>0</v>
      </c>
      <c r="O72" s="62">
        <f t="shared" si="33"/>
        <v>0</v>
      </c>
      <c r="P72" s="1"/>
    </row>
    <row r="73" spans="2:16" ht="12.5">
      <c r="C73" s="12" t="s">
        <v>77</v>
      </c>
      <c r="D73" s="267"/>
      <c r="E73" s="267">
        <f>SUM(E17:E72)</f>
        <v>3305766.9999999995</v>
      </c>
      <c r="F73" s="267"/>
      <c r="G73" s="267">
        <f>SUM(G17:G72)</f>
        <v>11576139.494324598</v>
      </c>
      <c r="H73" s="267">
        <f>SUM(H17:H72)</f>
        <v>11576139.494324598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12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385776.25641025638</v>
      </c>
      <c r="N87" s="364">
        <f>IF(J92&lt;D11,0,VLOOKUP(J92,C17:O72,11))</f>
        <v>385776.25641025638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414820.57079383935</v>
      </c>
      <c r="N88" s="367">
        <f>IF(J92&lt;D11,0,VLOOKUP(J92,C99:P154,7))</f>
        <v>414820.57079383935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Canadian River - McAlester City 138 kV Line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29044.314383582969</v>
      </c>
      <c r="N89" s="369">
        <f>+N88-N87</f>
        <v>29044.314383582969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TP2009095-PSO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f>+D10</f>
        <v>3305767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2012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8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89345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47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2012</v>
      </c>
      <c r="D99" s="405">
        <v>0</v>
      </c>
      <c r="E99" s="406">
        <v>1616</v>
      </c>
      <c r="F99" s="407">
        <v>502209</v>
      </c>
      <c r="G99" s="408">
        <v>251209</v>
      </c>
      <c r="H99" s="409">
        <v>37753</v>
      </c>
      <c r="I99" s="410">
        <v>37753</v>
      </c>
      <c r="J99" s="54">
        <f t="shared" ref="J99:J130" si="37">+I99-H99</f>
        <v>0</v>
      </c>
      <c r="K99" s="401"/>
      <c r="L99" s="394">
        <f t="shared" ref="L99:L104" si="38">H99</f>
        <v>37753</v>
      </c>
      <c r="M99" s="402">
        <f t="shared" ref="M99:M104" si="39">IF(L99&lt;&gt;0,+H99-L99,0)</f>
        <v>0</v>
      </c>
      <c r="N99" s="394">
        <f t="shared" ref="N99:N104" si="40">I99</f>
        <v>37753</v>
      </c>
      <c r="O99" s="63">
        <f t="shared" ref="O99:O104" si="41">IF(N99&lt;&gt;0,+I99-N99,0)</f>
        <v>0</v>
      </c>
      <c r="P99" s="53">
        <f t="shared" ref="P99:P104" si="42">+O99-M99</f>
        <v>0</v>
      </c>
    </row>
    <row r="100" spans="1:16" ht="12.5">
      <c r="B100" s="7" t="str">
        <f t="shared" ref="B100:B131" si="43">IF(D100=F99,"","IU")</f>
        <v>IU</v>
      </c>
      <c r="C100" s="50">
        <f>IF(D93="","-",+C99+1)</f>
        <v>2013</v>
      </c>
      <c r="D100" s="349">
        <v>3240518</v>
      </c>
      <c r="E100" s="352">
        <v>62349</v>
      </c>
      <c r="F100" s="351">
        <v>3178169</v>
      </c>
      <c r="G100" s="351">
        <v>3209343.5</v>
      </c>
      <c r="H100" s="352">
        <v>524300.60020262119</v>
      </c>
      <c r="I100" s="353">
        <v>524300.60020262119</v>
      </c>
      <c r="J100" s="54">
        <v>0</v>
      </c>
      <c r="K100" s="401"/>
      <c r="L100" s="379">
        <f t="shared" si="38"/>
        <v>524300.60020262119</v>
      </c>
      <c r="M100" s="402">
        <f t="shared" si="39"/>
        <v>0</v>
      </c>
      <c r="N100" s="379">
        <f t="shared" si="40"/>
        <v>524300.60020262119</v>
      </c>
      <c r="O100" s="63">
        <f t="shared" si="41"/>
        <v>0</v>
      </c>
      <c r="P100" s="54">
        <f t="shared" si="42"/>
        <v>0</v>
      </c>
    </row>
    <row r="101" spans="1:16" ht="12.5">
      <c r="B101" s="7" t="str">
        <f t="shared" si="43"/>
        <v>IU</v>
      </c>
      <c r="C101" s="50">
        <f>IF(D93="","-",+C100+1)</f>
        <v>2014</v>
      </c>
      <c r="D101" s="349">
        <v>3241802.14</v>
      </c>
      <c r="E101" s="352">
        <v>63572</v>
      </c>
      <c r="F101" s="351">
        <v>3178230.14</v>
      </c>
      <c r="G101" s="351">
        <v>3210016.14</v>
      </c>
      <c r="H101" s="352">
        <v>514887.14751698606</v>
      </c>
      <c r="I101" s="353">
        <v>514887.14751698606</v>
      </c>
      <c r="J101" s="54">
        <v>0</v>
      </c>
      <c r="K101" s="401"/>
      <c r="L101" s="379">
        <f t="shared" si="38"/>
        <v>514887.14751698606</v>
      </c>
      <c r="M101" s="402">
        <f t="shared" si="39"/>
        <v>0</v>
      </c>
      <c r="N101" s="379">
        <f t="shared" si="40"/>
        <v>514887.14751698606</v>
      </c>
      <c r="O101" s="63">
        <f t="shared" si="41"/>
        <v>0</v>
      </c>
      <c r="P101" s="54">
        <f t="shared" si="42"/>
        <v>0</v>
      </c>
    </row>
    <row r="102" spans="1:16" ht="12.5">
      <c r="B102" s="7" t="str">
        <f t="shared" si="43"/>
        <v/>
      </c>
      <c r="C102" s="50">
        <f>IF(D93="","-",+C101+1)</f>
        <v>2015</v>
      </c>
      <c r="D102" s="349">
        <v>3178230.14</v>
      </c>
      <c r="E102" s="352">
        <v>63572</v>
      </c>
      <c r="F102" s="351">
        <v>3114658.14</v>
      </c>
      <c r="G102" s="351">
        <v>3146444.14</v>
      </c>
      <c r="H102" s="352">
        <v>492879.0042454137</v>
      </c>
      <c r="I102" s="353">
        <v>492879.0042454137</v>
      </c>
      <c r="J102" s="54">
        <f t="shared" si="37"/>
        <v>0</v>
      </c>
      <c r="K102" s="54"/>
      <c r="L102" s="379">
        <f t="shared" si="38"/>
        <v>492879.0042454137</v>
      </c>
      <c r="M102" s="402">
        <f t="shared" si="39"/>
        <v>0</v>
      </c>
      <c r="N102" s="379">
        <f t="shared" si="40"/>
        <v>492879.0042454137</v>
      </c>
      <c r="O102" s="63">
        <f t="shared" si="41"/>
        <v>0</v>
      </c>
      <c r="P102" s="54">
        <f t="shared" si="42"/>
        <v>0</v>
      </c>
    </row>
    <row r="103" spans="1:16" ht="12.5">
      <c r="B103" s="7" t="str">
        <f t="shared" si="43"/>
        <v/>
      </c>
      <c r="C103" s="50">
        <f>IF(D93="","-",+C102+1)</f>
        <v>2016</v>
      </c>
      <c r="D103" s="349">
        <v>3114658.14</v>
      </c>
      <c r="E103" s="352">
        <v>71865</v>
      </c>
      <c r="F103" s="351">
        <v>3042793.14</v>
      </c>
      <c r="G103" s="351">
        <v>3078725.64</v>
      </c>
      <c r="H103" s="352">
        <v>468761.221459263</v>
      </c>
      <c r="I103" s="353">
        <v>468761.221459263</v>
      </c>
      <c r="J103" s="54">
        <f t="shared" si="37"/>
        <v>0</v>
      </c>
      <c r="K103" s="54"/>
      <c r="L103" s="379">
        <f t="shared" si="38"/>
        <v>468761.221459263</v>
      </c>
      <c r="M103" s="402">
        <f t="shared" si="39"/>
        <v>0</v>
      </c>
      <c r="N103" s="379">
        <f t="shared" si="40"/>
        <v>468761.221459263</v>
      </c>
      <c r="O103" s="63">
        <f t="shared" si="41"/>
        <v>0</v>
      </c>
      <c r="P103" s="54">
        <f t="shared" si="42"/>
        <v>0</v>
      </c>
    </row>
    <row r="104" spans="1:16" ht="12.5">
      <c r="B104" s="7" t="str">
        <f t="shared" si="43"/>
        <v/>
      </c>
      <c r="C104" s="50">
        <f>IF(D93="","-",+C103+1)</f>
        <v>2017</v>
      </c>
      <c r="D104" s="349">
        <v>3042793.14</v>
      </c>
      <c r="E104" s="352">
        <v>71865</v>
      </c>
      <c r="F104" s="351">
        <v>2970928.14</v>
      </c>
      <c r="G104" s="351">
        <v>3006860.64</v>
      </c>
      <c r="H104" s="352">
        <v>453292.85398579738</v>
      </c>
      <c r="I104" s="353">
        <v>453292.85398579738</v>
      </c>
      <c r="J104" s="54">
        <f t="shared" si="37"/>
        <v>0</v>
      </c>
      <c r="K104" s="54"/>
      <c r="L104" s="379">
        <f t="shared" si="38"/>
        <v>453292.85398579738</v>
      </c>
      <c r="M104" s="402">
        <f t="shared" si="39"/>
        <v>0</v>
      </c>
      <c r="N104" s="379">
        <f t="shared" si="40"/>
        <v>453292.85398579738</v>
      </c>
      <c r="O104" s="63">
        <f t="shared" si="41"/>
        <v>0</v>
      </c>
      <c r="P104" s="54">
        <f t="shared" si="42"/>
        <v>0</v>
      </c>
    </row>
    <row r="105" spans="1:16" ht="12.5">
      <c r="B105" s="7" t="str">
        <f t="shared" si="43"/>
        <v/>
      </c>
      <c r="C105" s="50">
        <f>IF(D93="","-",+C104+1)</f>
        <v>2018</v>
      </c>
      <c r="D105" s="349">
        <v>2970928.14</v>
      </c>
      <c r="E105" s="352">
        <v>76878</v>
      </c>
      <c r="F105" s="351">
        <v>2894050.14</v>
      </c>
      <c r="G105" s="351">
        <v>2932489.14</v>
      </c>
      <c r="H105" s="352">
        <v>378148.93401168124</v>
      </c>
      <c r="I105" s="353">
        <v>378148.93401168124</v>
      </c>
      <c r="J105" s="54">
        <f t="shared" si="37"/>
        <v>0</v>
      </c>
      <c r="K105" s="54"/>
      <c r="L105" s="379">
        <f t="shared" ref="L105" si="44">H105</f>
        <v>378148.93401168124</v>
      </c>
      <c r="M105" s="402">
        <f t="shared" ref="M105" si="45">IF(L105&lt;&gt;0,+H105-L105,0)</f>
        <v>0</v>
      </c>
      <c r="N105" s="379">
        <f t="shared" ref="N105" si="46">I105</f>
        <v>378148.93401168124</v>
      </c>
      <c r="O105" s="63">
        <f t="shared" ref="O105" si="47">IF(N105&lt;&gt;0,+I105-N105,0)</f>
        <v>0</v>
      </c>
      <c r="P105" s="54">
        <f t="shared" ref="P105" si="48">+O105-M105</f>
        <v>0</v>
      </c>
    </row>
    <row r="106" spans="1:16" ht="12.5">
      <c r="B106" s="7" t="str">
        <f t="shared" si="43"/>
        <v/>
      </c>
      <c r="C106" s="50">
        <f>IF(D93="","-",+C105+1)</f>
        <v>2019</v>
      </c>
      <c r="D106" s="349">
        <v>2894050.14</v>
      </c>
      <c r="E106" s="352">
        <v>80628</v>
      </c>
      <c r="F106" s="351">
        <v>2813422.14</v>
      </c>
      <c r="G106" s="351">
        <v>2853736.14</v>
      </c>
      <c r="H106" s="352">
        <v>374888.22276719729</v>
      </c>
      <c r="I106" s="353">
        <v>374888.22276719729</v>
      </c>
      <c r="J106" s="54">
        <f t="shared" si="37"/>
        <v>0</v>
      </c>
      <c r="K106" s="54"/>
      <c r="L106" s="379">
        <f t="shared" ref="L106:L107" si="49">H106</f>
        <v>374888.22276719729</v>
      </c>
      <c r="M106" s="402">
        <f t="shared" ref="M106:M107" si="50">IF(L106&lt;&gt;0,+H106-L106,0)</f>
        <v>0</v>
      </c>
      <c r="N106" s="379">
        <f t="shared" ref="N106:N107" si="51">I106</f>
        <v>374888.22276719729</v>
      </c>
      <c r="O106" s="54">
        <f t="shared" ref="O106:O130" si="52">IF(N106&lt;&gt;0,+I106-N106,0)</f>
        <v>0</v>
      </c>
      <c r="P106" s="54">
        <f t="shared" ref="P106:P130" si="53">+O106-M106</f>
        <v>0</v>
      </c>
    </row>
    <row r="107" spans="1:16" ht="12.5">
      <c r="B107" s="7" t="str">
        <f t="shared" si="43"/>
        <v/>
      </c>
      <c r="C107" s="50">
        <f>IF(D93="","-",+C106+1)</f>
        <v>2020</v>
      </c>
      <c r="D107" s="349">
        <v>2813422.14</v>
      </c>
      <c r="E107" s="352">
        <v>76878</v>
      </c>
      <c r="F107" s="351">
        <v>2736544.14</v>
      </c>
      <c r="G107" s="351">
        <v>2774983.14</v>
      </c>
      <c r="H107" s="352">
        <v>396825.92685492127</v>
      </c>
      <c r="I107" s="353">
        <v>396825.92685492127</v>
      </c>
      <c r="J107" s="54">
        <f t="shared" si="37"/>
        <v>0</v>
      </c>
      <c r="K107" s="54"/>
      <c r="L107" s="379">
        <f t="shared" si="49"/>
        <v>396825.92685492127</v>
      </c>
      <c r="M107" s="402">
        <f t="shared" si="50"/>
        <v>0</v>
      </c>
      <c r="N107" s="379">
        <f t="shared" si="51"/>
        <v>396825.92685492127</v>
      </c>
      <c r="O107" s="54">
        <f t="shared" si="52"/>
        <v>0</v>
      </c>
      <c r="P107" s="54">
        <f t="shared" si="53"/>
        <v>0</v>
      </c>
    </row>
    <row r="108" spans="1:16" ht="12.5">
      <c r="B108" s="7" t="str">
        <f t="shared" si="43"/>
        <v/>
      </c>
      <c r="C108" s="50">
        <f>IF(D93="","-",+C107+1)</f>
        <v>2021</v>
      </c>
      <c r="D108" s="349">
        <v>2736544.14</v>
      </c>
      <c r="E108" s="352">
        <v>80628</v>
      </c>
      <c r="F108" s="351">
        <v>2655916.14</v>
      </c>
      <c r="G108" s="351">
        <v>2696230.14</v>
      </c>
      <c r="H108" s="352">
        <v>387439.55828621471</v>
      </c>
      <c r="I108" s="353">
        <v>387439.55828621471</v>
      </c>
      <c r="J108" s="54">
        <f t="shared" si="37"/>
        <v>0</v>
      </c>
      <c r="K108" s="54"/>
      <c r="L108" s="379">
        <f t="shared" ref="L108" si="54">H108</f>
        <v>387439.55828621471</v>
      </c>
      <c r="M108" s="402">
        <f t="shared" ref="M108" si="55">IF(L108&lt;&gt;0,+H108-L108,0)</f>
        <v>0</v>
      </c>
      <c r="N108" s="379">
        <f t="shared" ref="N108" si="56">I108</f>
        <v>387439.55828621471</v>
      </c>
      <c r="O108" s="54">
        <f t="shared" ref="O108" si="57">IF(N108&lt;&gt;0,+I108-N108,0)</f>
        <v>0</v>
      </c>
      <c r="P108" s="54">
        <f t="shared" ref="P108" si="58">+O108-M108</f>
        <v>0</v>
      </c>
    </row>
    <row r="109" spans="1:16" ht="12.5">
      <c r="B109" s="7" t="str">
        <f t="shared" si="43"/>
        <v/>
      </c>
      <c r="C109" s="450">
        <f>IF(D93="","-",+C108+1)</f>
        <v>2022</v>
      </c>
      <c r="D109" s="349">
        <v>2655916.14</v>
      </c>
      <c r="E109" s="352">
        <v>84763</v>
      </c>
      <c r="F109" s="351">
        <v>2571153.14</v>
      </c>
      <c r="G109" s="351">
        <v>2613534.64</v>
      </c>
      <c r="H109" s="352">
        <v>372729.18001760636</v>
      </c>
      <c r="I109" s="353">
        <v>372729.18001760636</v>
      </c>
      <c r="J109" s="54">
        <f t="shared" si="37"/>
        <v>0</v>
      </c>
      <c r="K109" s="54"/>
      <c r="L109" s="379">
        <f t="shared" ref="L109:L110" si="59">H109</f>
        <v>372729.18001760636</v>
      </c>
      <c r="M109" s="402">
        <f t="shared" ref="M109:M110" si="60">IF(L109&lt;&gt;0,+H109-L109,0)</f>
        <v>0</v>
      </c>
      <c r="N109" s="379">
        <f t="shared" ref="N109:N110" si="61">I109</f>
        <v>372729.18001760636</v>
      </c>
      <c r="O109" s="54">
        <f t="shared" ref="O109:O110" si="62">IF(N109&lt;&gt;0,+I109-N109,0)</f>
        <v>0</v>
      </c>
      <c r="P109" s="54">
        <f t="shared" ref="P109:P110" si="63">+O109-M109</f>
        <v>0</v>
      </c>
    </row>
    <row r="110" spans="1:16" ht="12.5">
      <c r="B110" s="7" t="str">
        <f t="shared" si="43"/>
        <v>IU</v>
      </c>
      <c r="C110" s="50">
        <f>IF(D93="","-",+C109+1)</f>
        <v>2023</v>
      </c>
      <c r="D110" s="349">
        <v>2571153</v>
      </c>
      <c r="E110" s="352">
        <v>86994</v>
      </c>
      <c r="F110" s="351">
        <v>2484159</v>
      </c>
      <c r="G110" s="351">
        <v>2527656</v>
      </c>
      <c r="H110" s="352">
        <v>375720.69601794594</v>
      </c>
      <c r="I110" s="353">
        <v>375720.69601794594</v>
      </c>
      <c r="J110" s="54">
        <f t="shared" si="37"/>
        <v>0</v>
      </c>
      <c r="K110" s="54"/>
      <c r="L110" s="379">
        <f t="shared" si="59"/>
        <v>375720.69601794594</v>
      </c>
      <c r="M110" s="402">
        <f t="shared" si="60"/>
        <v>0</v>
      </c>
      <c r="N110" s="379">
        <f t="shared" si="61"/>
        <v>375720.69601794594</v>
      </c>
      <c r="O110" s="54">
        <f t="shared" si="62"/>
        <v>0</v>
      </c>
      <c r="P110" s="54">
        <f t="shared" si="63"/>
        <v>0</v>
      </c>
    </row>
    <row r="111" spans="1:16" ht="12.5">
      <c r="B111" s="7" t="str">
        <f t="shared" si="43"/>
        <v/>
      </c>
      <c r="C111" s="50">
        <f>IF(D93="","-",+C110+1)</f>
        <v>2024</v>
      </c>
      <c r="D111" s="349">
        <v>2484159</v>
      </c>
      <c r="E111" s="352">
        <v>86994</v>
      </c>
      <c r="F111" s="351">
        <v>2397165</v>
      </c>
      <c r="G111" s="351">
        <v>2440662</v>
      </c>
      <c r="H111" s="352">
        <v>414820.57079383935</v>
      </c>
      <c r="I111" s="353">
        <v>414820.57079383935</v>
      </c>
      <c r="J111" s="54">
        <f t="shared" si="37"/>
        <v>0</v>
      </c>
      <c r="K111" s="54"/>
      <c r="L111" s="379">
        <f t="shared" ref="L111" si="64">H111</f>
        <v>414820.57079383935</v>
      </c>
      <c r="M111" s="402">
        <f t="shared" ref="M111" si="65">IF(L111&lt;&gt;0,+H111-L111,0)</f>
        <v>0</v>
      </c>
      <c r="N111" s="379">
        <f t="shared" ref="N111" si="66">I111</f>
        <v>414820.57079383935</v>
      </c>
      <c r="O111" s="54">
        <f t="shared" ref="O111" si="67">IF(N111&lt;&gt;0,+I111-N111,0)</f>
        <v>0</v>
      </c>
      <c r="P111" s="54">
        <f t="shared" ref="P111" si="68">+O111-M111</f>
        <v>0</v>
      </c>
    </row>
    <row r="112" spans="1:16" ht="12.5">
      <c r="B112" s="7" t="str">
        <f t="shared" si="43"/>
        <v/>
      </c>
      <c r="C112" s="50">
        <f>IF(D93="","-",+C111+1)</f>
        <v>2025</v>
      </c>
      <c r="D112" s="12">
        <f>IF(F111+SUM(E$99:E111)=D$92,F111,D$92-SUM(E$99:E111))</f>
        <v>2397165</v>
      </c>
      <c r="E112" s="355">
        <f t="shared" ref="E112:E154" si="69">IF(+J$96&lt;F111,J$96,D112)</f>
        <v>89345</v>
      </c>
      <c r="F112" s="55">
        <f t="shared" ref="F112:F154" si="70">+D112-E112</f>
        <v>2307820</v>
      </c>
      <c r="G112" s="55">
        <f t="shared" ref="G112:G154" si="71">+(F112+D112)/2</f>
        <v>2352492.5</v>
      </c>
      <c r="H112" s="356">
        <f t="shared" ref="H112:H130" si="72">+J$94*G112+E112</f>
        <v>405328.75731388701</v>
      </c>
      <c r="I112" s="381">
        <f t="shared" ref="I112:I130" si="73">+J$95*G112+E112</f>
        <v>405328.75731388701</v>
      </c>
      <c r="J112" s="54">
        <f t="shared" si="37"/>
        <v>0</v>
      </c>
      <c r="K112" s="54"/>
      <c r="L112" s="115"/>
      <c r="M112" s="54">
        <f t="shared" ref="M112:M130" si="74">IF(L112&lt;&gt;0,+H112-L112,0)</f>
        <v>0</v>
      </c>
      <c r="N112" s="115"/>
      <c r="O112" s="54">
        <f t="shared" si="52"/>
        <v>0</v>
      </c>
      <c r="P112" s="54">
        <f t="shared" si="53"/>
        <v>0</v>
      </c>
    </row>
    <row r="113" spans="2:16" ht="12.5">
      <c r="B113" s="7" t="str">
        <f t="shared" si="43"/>
        <v/>
      </c>
      <c r="C113" s="50">
        <f>IF(D93="","-",+C112+1)</f>
        <v>2026</v>
      </c>
      <c r="D113" s="12">
        <f>IF(F112+SUM(E$99:E112)=D$92,F112,D$92-SUM(E$99:E112))</f>
        <v>2307820</v>
      </c>
      <c r="E113" s="355">
        <f t="shared" si="69"/>
        <v>89345</v>
      </c>
      <c r="F113" s="55">
        <f t="shared" si="70"/>
        <v>2218475</v>
      </c>
      <c r="G113" s="55">
        <f t="shared" si="71"/>
        <v>2263147.5</v>
      </c>
      <c r="H113" s="356">
        <f t="shared" si="72"/>
        <v>393328.05219061492</v>
      </c>
      <c r="I113" s="381">
        <f t="shared" si="73"/>
        <v>393328.05219061492</v>
      </c>
      <c r="J113" s="54">
        <f t="shared" si="37"/>
        <v>0</v>
      </c>
      <c r="K113" s="54"/>
      <c r="L113" s="115"/>
      <c r="M113" s="54">
        <f t="shared" si="74"/>
        <v>0</v>
      </c>
      <c r="N113" s="115"/>
      <c r="O113" s="54">
        <f t="shared" si="52"/>
        <v>0</v>
      </c>
      <c r="P113" s="54">
        <f t="shared" si="53"/>
        <v>0</v>
      </c>
    </row>
    <row r="114" spans="2:16" ht="12.5">
      <c r="B114" s="7" t="str">
        <f t="shared" si="43"/>
        <v/>
      </c>
      <c r="C114" s="50">
        <f>IF(D93="","-",+C113+1)</f>
        <v>2027</v>
      </c>
      <c r="D114" s="12">
        <f>IF(F113+SUM(E$99:E113)=D$92,F113,D$92-SUM(E$99:E113))</f>
        <v>2218475</v>
      </c>
      <c r="E114" s="355">
        <f t="shared" si="69"/>
        <v>89345</v>
      </c>
      <c r="F114" s="55">
        <f t="shared" si="70"/>
        <v>2129130</v>
      </c>
      <c r="G114" s="55">
        <f t="shared" si="71"/>
        <v>2173802.5</v>
      </c>
      <c r="H114" s="356">
        <f t="shared" si="72"/>
        <v>381327.34706734278</v>
      </c>
      <c r="I114" s="381">
        <f t="shared" si="73"/>
        <v>381327.34706734278</v>
      </c>
      <c r="J114" s="54">
        <f t="shared" si="37"/>
        <v>0</v>
      </c>
      <c r="K114" s="54"/>
      <c r="L114" s="115"/>
      <c r="M114" s="54">
        <f t="shared" si="74"/>
        <v>0</v>
      </c>
      <c r="N114" s="115"/>
      <c r="O114" s="54">
        <f t="shared" si="52"/>
        <v>0</v>
      </c>
      <c r="P114" s="54">
        <f t="shared" si="53"/>
        <v>0</v>
      </c>
    </row>
    <row r="115" spans="2:16" ht="12.5">
      <c r="B115" s="7" t="str">
        <f t="shared" si="43"/>
        <v/>
      </c>
      <c r="C115" s="50">
        <f>IF(D93="","-",+C114+1)</f>
        <v>2028</v>
      </c>
      <c r="D115" s="12">
        <f>IF(F114+SUM(E$99:E114)=D$92,F114,D$92-SUM(E$99:E114))</f>
        <v>2129130</v>
      </c>
      <c r="E115" s="355">
        <f t="shared" si="69"/>
        <v>89345</v>
      </c>
      <c r="F115" s="55">
        <f t="shared" si="70"/>
        <v>2039785</v>
      </c>
      <c r="G115" s="55">
        <f t="shared" si="71"/>
        <v>2084457.5</v>
      </c>
      <c r="H115" s="356">
        <f t="shared" si="72"/>
        <v>369326.64194407064</v>
      </c>
      <c r="I115" s="381">
        <f t="shared" si="73"/>
        <v>369326.64194407064</v>
      </c>
      <c r="J115" s="54">
        <f t="shared" si="37"/>
        <v>0</v>
      </c>
      <c r="K115" s="54"/>
      <c r="L115" s="115"/>
      <c r="M115" s="54">
        <f t="shared" si="74"/>
        <v>0</v>
      </c>
      <c r="N115" s="115"/>
      <c r="O115" s="54">
        <f t="shared" si="52"/>
        <v>0</v>
      </c>
      <c r="P115" s="54">
        <f t="shared" si="53"/>
        <v>0</v>
      </c>
    </row>
    <row r="116" spans="2:16" ht="12.5">
      <c r="B116" s="7" t="str">
        <f t="shared" si="43"/>
        <v/>
      </c>
      <c r="C116" s="50">
        <f>IF(D93="","-",+C115+1)</f>
        <v>2029</v>
      </c>
      <c r="D116" s="12">
        <f>IF(F115+SUM(E$99:E115)=D$92,F115,D$92-SUM(E$99:E115))</f>
        <v>2039785</v>
      </c>
      <c r="E116" s="355">
        <f t="shared" si="69"/>
        <v>89345</v>
      </c>
      <c r="F116" s="55">
        <f t="shared" si="70"/>
        <v>1950440</v>
      </c>
      <c r="G116" s="55">
        <f t="shared" si="71"/>
        <v>1995112.5</v>
      </c>
      <c r="H116" s="356">
        <f t="shared" si="72"/>
        <v>357325.93682079855</v>
      </c>
      <c r="I116" s="381">
        <f t="shared" si="73"/>
        <v>357325.93682079855</v>
      </c>
      <c r="J116" s="54">
        <f t="shared" si="37"/>
        <v>0</v>
      </c>
      <c r="K116" s="54"/>
      <c r="L116" s="115"/>
      <c r="M116" s="54">
        <f t="shared" si="74"/>
        <v>0</v>
      </c>
      <c r="N116" s="115"/>
      <c r="O116" s="54">
        <f t="shared" si="52"/>
        <v>0</v>
      </c>
      <c r="P116" s="54">
        <f t="shared" si="53"/>
        <v>0</v>
      </c>
    </row>
    <row r="117" spans="2:16" ht="12.5">
      <c r="B117" s="7" t="str">
        <f t="shared" si="43"/>
        <v/>
      </c>
      <c r="C117" s="50">
        <f>IF(D93="","-",+C116+1)</f>
        <v>2030</v>
      </c>
      <c r="D117" s="12">
        <f>IF(F116+SUM(E$99:E116)=D$92,F116,D$92-SUM(E$99:E116))</f>
        <v>1950440</v>
      </c>
      <c r="E117" s="355">
        <f t="shared" si="69"/>
        <v>89345</v>
      </c>
      <c r="F117" s="55">
        <f t="shared" si="70"/>
        <v>1861095</v>
      </c>
      <c r="G117" s="55">
        <f t="shared" si="71"/>
        <v>1905767.5</v>
      </c>
      <c r="H117" s="356">
        <f t="shared" si="72"/>
        <v>345325.23169752641</v>
      </c>
      <c r="I117" s="381">
        <f t="shared" si="73"/>
        <v>345325.23169752641</v>
      </c>
      <c r="J117" s="54">
        <f t="shared" si="37"/>
        <v>0</v>
      </c>
      <c r="K117" s="54"/>
      <c r="L117" s="115"/>
      <c r="M117" s="54">
        <f t="shared" si="74"/>
        <v>0</v>
      </c>
      <c r="N117" s="115"/>
      <c r="O117" s="54">
        <f t="shared" si="52"/>
        <v>0</v>
      </c>
      <c r="P117" s="54">
        <f t="shared" si="53"/>
        <v>0</v>
      </c>
    </row>
    <row r="118" spans="2:16" ht="12.5">
      <c r="B118" s="7" t="str">
        <f t="shared" si="43"/>
        <v/>
      </c>
      <c r="C118" s="50">
        <f>IF(D93="","-",+C117+1)</f>
        <v>2031</v>
      </c>
      <c r="D118" s="12">
        <f>IF(F117+SUM(E$99:E117)=D$92,F117,D$92-SUM(E$99:E117))</f>
        <v>1861095</v>
      </c>
      <c r="E118" s="355">
        <f t="shared" si="69"/>
        <v>89345</v>
      </c>
      <c r="F118" s="55">
        <f t="shared" si="70"/>
        <v>1771750</v>
      </c>
      <c r="G118" s="55">
        <f t="shared" si="71"/>
        <v>1816422.5</v>
      </c>
      <c r="H118" s="356">
        <f t="shared" si="72"/>
        <v>333324.52657425427</v>
      </c>
      <c r="I118" s="381">
        <f t="shared" si="73"/>
        <v>333324.52657425427</v>
      </c>
      <c r="J118" s="54">
        <f t="shared" si="37"/>
        <v>0</v>
      </c>
      <c r="K118" s="54"/>
      <c r="L118" s="115"/>
      <c r="M118" s="54">
        <f t="shared" si="74"/>
        <v>0</v>
      </c>
      <c r="N118" s="115"/>
      <c r="O118" s="54">
        <f t="shared" si="52"/>
        <v>0</v>
      </c>
      <c r="P118" s="54">
        <f t="shared" si="53"/>
        <v>0</v>
      </c>
    </row>
    <row r="119" spans="2:16" ht="12.5">
      <c r="B119" s="7" t="str">
        <f t="shared" si="43"/>
        <v/>
      </c>
      <c r="C119" s="50">
        <f>IF(D93="","-",+C118+1)</f>
        <v>2032</v>
      </c>
      <c r="D119" s="12">
        <f>IF(F118+SUM(E$99:E118)=D$92,F118,D$92-SUM(E$99:E118))</f>
        <v>1771750</v>
      </c>
      <c r="E119" s="355">
        <f t="shared" si="69"/>
        <v>89345</v>
      </c>
      <c r="F119" s="55">
        <f t="shared" si="70"/>
        <v>1682405</v>
      </c>
      <c r="G119" s="55">
        <f t="shared" si="71"/>
        <v>1727077.5</v>
      </c>
      <c r="H119" s="356">
        <f t="shared" si="72"/>
        <v>321323.82145098218</v>
      </c>
      <c r="I119" s="381">
        <f t="shared" si="73"/>
        <v>321323.82145098218</v>
      </c>
      <c r="J119" s="54">
        <f t="shared" si="37"/>
        <v>0</v>
      </c>
      <c r="K119" s="54"/>
      <c r="L119" s="115"/>
      <c r="M119" s="54">
        <f t="shared" si="74"/>
        <v>0</v>
      </c>
      <c r="N119" s="115"/>
      <c r="O119" s="54">
        <f t="shared" si="52"/>
        <v>0</v>
      </c>
      <c r="P119" s="54">
        <f t="shared" si="53"/>
        <v>0</v>
      </c>
    </row>
    <row r="120" spans="2:16" ht="12.5">
      <c r="B120" s="7" t="str">
        <f t="shared" si="43"/>
        <v/>
      </c>
      <c r="C120" s="50">
        <f>IF(D93="","-",+C119+1)</f>
        <v>2033</v>
      </c>
      <c r="D120" s="12">
        <f>IF(F119+SUM(E$99:E119)=D$92,F119,D$92-SUM(E$99:E119))</f>
        <v>1682405</v>
      </c>
      <c r="E120" s="355">
        <f t="shared" si="69"/>
        <v>89345</v>
      </c>
      <c r="F120" s="55">
        <f t="shared" si="70"/>
        <v>1593060</v>
      </c>
      <c r="G120" s="55">
        <f t="shared" si="71"/>
        <v>1637732.5</v>
      </c>
      <c r="H120" s="356">
        <f t="shared" si="72"/>
        <v>309323.1163277101</v>
      </c>
      <c r="I120" s="381">
        <f t="shared" si="73"/>
        <v>309323.1163277101</v>
      </c>
      <c r="J120" s="54">
        <f t="shared" si="37"/>
        <v>0</v>
      </c>
      <c r="K120" s="54"/>
      <c r="L120" s="115"/>
      <c r="M120" s="54">
        <f t="shared" si="74"/>
        <v>0</v>
      </c>
      <c r="N120" s="115"/>
      <c r="O120" s="54">
        <f t="shared" si="52"/>
        <v>0</v>
      </c>
      <c r="P120" s="54">
        <f t="shared" si="53"/>
        <v>0</v>
      </c>
    </row>
    <row r="121" spans="2:16" ht="12.5">
      <c r="B121" s="7" t="str">
        <f t="shared" si="43"/>
        <v/>
      </c>
      <c r="C121" s="50">
        <f>IF(D93="","-",+C120+1)</f>
        <v>2034</v>
      </c>
      <c r="D121" s="12">
        <f>IF(F120+SUM(E$99:E120)=D$92,F120,D$92-SUM(E$99:E120))</f>
        <v>1593060</v>
      </c>
      <c r="E121" s="355">
        <f t="shared" si="69"/>
        <v>89345</v>
      </c>
      <c r="F121" s="55">
        <f t="shared" si="70"/>
        <v>1503715</v>
      </c>
      <c r="G121" s="55">
        <f t="shared" si="71"/>
        <v>1548387.5</v>
      </c>
      <c r="H121" s="356">
        <f t="shared" si="72"/>
        <v>297322.41120443796</v>
      </c>
      <c r="I121" s="381">
        <f t="shared" si="73"/>
        <v>297322.41120443796</v>
      </c>
      <c r="J121" s="54">
        <f t="shared" si="37"/>
        <v>0</v>
      </c>
      <c r="K121" s="54"/>
      <c r="L121" s="115"/>
      <c r="M121" s="54">
        <f t="shared" si="74"/>
        <v>0</v>
      </c>
      <c r="N121" s="115"/>
      <c r="O121" s="54">
        <f t="shared" si="52"/>
        <v>0</v>
      </c>
      <c r="P121" s="54">
        <f t="shared" si="53"/>
        <v>0</v>
      </c>
    </row>
    <row r="122" spans="2:16" ht="12.5">
      <c r="B122" s="7" t="str">
        <f t="shared" si="43"/>
        <v/>
      </c>
      <c r="C122" s="50">
        <f>IF(D93="","-",+C121+1)</f>
        <v>2035</v>
      </c>
      <c r="D122" s="12">
        <f>IF(F121+SUM(E$99:E121)=D$92,F121,D$92-SUM(E$99:E121))</f>
        <v>1503715</v>
      </c>
      <c r="E122" s="355">
        <f t="shared" si="69"/>
        <v>89345</v>
      </c>
      <c r="F122" s="55">
        <f t="shared" si="70"/>
        <v>1414370</v>
      </c>
      <c r="G122" s="55">
        <f t="shared" si="71"/>
        <v>1459042.5</v>
      </c>
      <c r="H122" s="356">
        <f t="shared" si="72"/>
        <v>285321.70608116582</v>
      </c>
      <c r="I122" s="381">
        <f t="shared" si="73"/>
        <v>285321.70608116582</v>
      </c>
      <c r="J122" s="54">
        <f t="shared" si="37"/>
        <v>0</v>
      </c>
      <c r="K122" s="54"/>
      <c r="L122" s="115"/>
      <c r="M122" s="54">
        <f t="shared" si="74"/>
        <v>0</v>
      </c>
      <c r="N122" s="115"/>
      <c r="O122" s="54">
        <f t="shared" si="52"/>
        <v>0</v>
      </c>
      <c r="P122" s="54">
        <f t="shared" si="53"/>
        <v>0</v>
      </c>
    </row>
    <row r="123" spans="2:16" ht="12.5">
      <c r="B123" s="7" t="str">
        <f t="shared" si="43"/>
        <v/>
      </c>
      <c r="C123" s="50">
        <f>IF(D93="","-",+C122+1)</f>
        <v>2036</v>
      </c>
      <c r="D123" s="12">
        <f>IF(F122+SUM(E$99:E122)=D$92,F122,D$92-SUM(E$99:E122))</f>
        <v>1414370</v>
      </c>
      <c r="E123" s="355">
        <f t="shared" si="69"/>
        <v>89345</v>
      </c>
      <c r="F123" s="55">
        <f t="shared" si="70"/>
        <v>1325025</v>
      </c>
      <c r="G123" s="55">
        <f t="shared" si="71"/>
        <v>1369697.5</v>
      </c>
      <c r="H123" s="356">
        <f t="shared" si="72"/>
        <v>273321.00095789367</v>
      </c>
      <c r="I123" s="381">
        <f t="shared" si="73"/>
        <v>273321.00095789367</v>
      </c>
      <c r="J123" s="54">
        <f t="shared" si="37"/>
        <v>0</v>
      </c>
      <c r="K123" s="54"/>
      <c r="L123" s="115"/>
      <c r="M123" s="54">
        <f t="shared" si="74"/>
        <v>0</v>
      </c>
      <c r="N123" s="115"/>
      <c r="O123" s="54">
        <f t="shared" si="52"/>
        <v>0</v>
      </c>
      <c r="P123" s="54">
        <f t="shared" si="53"/>
        <v>0</v>
      </c>
    </row>
    <row r="124" spans="2:16" ht="12.5">
      <c r="B124" s="7" t="str">
        <f t="shared" si="43"/>
        <v/>
      </c>
      <c r="C124" s="50">
        <f>IF(D93="","-",+C123+1)</f>
        <v>2037</v>
      </c>
      <c r="D124" s="12">
        <f>IF(F123+SUM(E$99:E123)=D$92,F123,D$92-SUM(E$99:E123))</f>
        <v>1325025</v>
      </c>
      <c r="E124" s="355">
        <f t="shared" si="69"/>
        <v>89345</v>
      </c>
      <c r="F124" s="55">
        <f t="shared" si="70"/>
        <v>1235680</v>
      </c>
      <c r="G124" s="55">
        <f t="shared" si="71"/>
        <v>1280352.5</v>
      </c>
      <c r="H124" s="356">
        <f t="shared" si="72"/>
        <v>261320.29583462159</v>
      </c>
      <c r="I124" s="381">
        <f t="shared" si="73"/>
        <v>261320.29583462159</v>
      </c>
      <c r="J124" s="54">
        <f t="shared" si="37"/>
        <v>0</v>
      </c>
      <c r="K124" s="54"/>
      <c r="L124" s="115"/>
      <c r="M124" s="54">
        <f t="shared" si="74"/>
        <v>0</v>
      </c>
      <c r="N124" s="115"/>
      <c r="O124" s="54">
        <f t="shared" si="52"/>
        <v>0</v>
      </c>
      <c r="P124" s="54">
        <f t="shared" si="53"/>
        <v>0</v>
      </c>
    </row>
    <row r="125" spans="2:16" ht="12.5">
      <c r="B125" s="7" t="str">
        <f t="shared" si="43"/>
        <v/>
      </c>
      <c r="C125" s="50">
        <f>IF(D93="","-",+C124+1)</f>
        <v>2038</v>
      </c>
      <c r="D125" s="12">
        <f>IF(F124+SUM(E$99:E124)=D$92,F124,D$92-SUM(E$99:E124))</f>
        <v>1235680</v>
      </c>
      <c r="E125" s="355">
        <f t="shared" si="69"/>
        <v>89345</v>
      </c>
      <c r="F125" s="55">
        <f t="shared" si="70"/>
        <v>1146335</v>
      </c>
      <c r="G125" s="55">
        <f t="shared" si="71"/>
        <v>1191007.5</v>
      </c>
      <c r="H125" s="356">
        <f t="shared" si="72"/>
        <v>249319.59071134948</v>
      </c>
      <c r="I125" s="381">
        <f t="shared" si="73"/>
        <v>249319.59071134948</v>
      </c>
      <c r="J125" s="54">
        <f t="shared" si="37"/>
        <v>0</v>
      </c>
      <c r="K125" s="54"/>
      <c r="L125" s="115"/>
      <c r="M125" s="54">
        <f t="shared" si="74"/>
        <v>0</v>
      </c>
      <c r="N125" s="115"/>
      <c r="O125" s="54">
        <f t="shared" si="52"/>
        <v>0</v>
      </c>
      <c r="P125" s="54">
        <f t="shared" si="53"/>
        <v>0</v>
      </c>
    </row>
    <row r="126" spans="2:16" ht="12.5">
      <c r="B126" s="7" t="str">
        <f t="shared" si="43"/>
        <v/>
      </c>
      <c r="C126" s="50">
        <f>IF(D93="","-",+C125+1)</f>
        <v>2039</v>
      </c>
      <c r="D126" s="12">
        <f>IF(F125+SUM(E$99:E125)=D$92,F125,D$92-SUM(E$99:E125))</f>
        <v>1146335</v>
      </c>
      <c r="E126" s="355">
        <f t="shared" si="69"/>
        <v>89345</v>
      </c>
      <c r="F126" s="55">
        <f t="shared" si="70"/>
        <v>1056990</v>
      </c>
      <c r="G126" s="55">
        <f t="shared" si="71"/>
        <v>1101662.5</v>
      </c>
      <c r="H126" s="356">
        <f t="shared" si="72"/>
        <v>237318.88558807736</v>
      </c>
      <c r="I126" s="381">
        <f t="shared" si="73"/>
        <v>237318.88558807736</v>
      </c>
      <c r="J126" s="54">
        <f t="shared" si="37"/>
        <v>0</v>
      </c>
      <c r="K126" s="54"/>
      <c r="L126" s="115"/>
      <c r="M126" s="54">
        <f t="shared" si="74"/>
        <v>0</v>
      </c>
      <c r="N126" s="115"/>
      <c r="O126" s="54">
        <f t="shared" si="52"/>
        <v>0</v>
      </c>
      <c r="P126" s="54">
        <f t="shared" si="53"/>
        <v>0</v>
      </c>
    </row>
    <row r="127" spans="2:16" ht="12.5">
      <c r="B127" s="7" t="str">
        <f t="shared" si="43"/>
        <v/>
      </c>
      <c r="C127" s="50">
        <f>IF(D93="","-",+C126+1)</f>
        <v>2040</v>
      </c>
      <c r="D127" s="12">
        <f>IF(F126+SUM(E$99:E126)=D$92,F126,D$92-SUM(E$99:E126))</f>
        <v>1056990</v>
      </c>
      <c r="E127" s="355">
        <f t="shared" si="69"/>
        <v>89345</v>
      </c>
      <c r="F127" s="55">
        <f t="shared" si="70"/>
        <v>967645</v>
      </c>
      <c r="G127" s="55">
        <f t="shared" si="71"/>
        <v>1012317.5</v>
      </c>
      <c r="H127" s="356">
        <f t="shared" si="72"/>
        <v>225318.18046480522</v>
      </c>
      <c r="I127" s="381">
        <f t="shared" si="73"/>
        <v>225318.18046480522</v>
      </c>
      <c r="J127" s="54">
        <f t="shared" si="37"/>
        <v>0</v>
      </c>
      <c r="K127" s="54"/>
      <c r="L127" s="115"/>
      <c r="M127" s="54">
        <f t="shared" si="74"/>
        <v>0</v>
      </c>
      <c r="N127" s="115"/>
      <c r="O127" s="54">
        <f t="shared" si="52"/>
        <v>0</v>
      </c>
      <c r="P127" s="54">
        <f t="shared" si="53"/>
        <v>0</v>
      </c>
    </row>
    <row r="128" spans="2:16" ht="12.5">
      <c r="B128" s="7" t="str">
        <f t="shared" si="43"/>
        <v/>
      </c>
      <c r="C128" s="50">
        <f>IF(D93="","-",+C127+1)</f>
        <v>2041</v>
      </c>
      <c r="D128" s="12">
        <f>IF(F127+SUM(E$99:E127)=D$92,F127,D$92-SUM(E$99:E127))</f>
        <v>967645</v>
      </c>
      <c r="E128" s="355">
        <f t="shared" si="69"/>
        <v>89345</v>
      </c>
      <c r="F128" s="55">
        <f t="shared" si="70"/>
        <v>878300</v>
      </c>
      <c r="G128" s="55">
        <f t="shared" si="71"/>
        <v>922972.5</v>
      </c>
      <c r="H128" s="356">
        <f t="shared" si="72"/>
        <v>213317.47534153311</v>
      </c>
      <c r="I128" s="381">
        <f t="shared" si="73"/>
        <v>213317.47534153311</v>
      </c>
      <c r="J128" s="54">
        <f t="shared" si="37"/>
        <v>0</v>
      </c>
      <c r="K128" s="54"/>
      <c r="L128" s="115"/>
      <c r="M128" s="54">
        <f t="shared" si="74"/>
        <v>0</v>
      </c>
      <c r="N128" s="115"/>
      <c r="O128" s="54">
        <f t="shared" si="52"/>
        <v>0</v>
      </c>
      <c r="P128" s="54">
        <f t="shared" si="53"/>
        <v>0</v>
      </c>
    </row>
    <row r="129" spans="2:16" ht="12.5">
      <c r="B129" s="7" t="str">
        <f t="shared" si="43"/>
        <v/>
      </c>
      <c r="C129" s="50">
        <f>IF(D93="","-",+C128+1)</f>
        <v>2042</v>
      </c>
      <c r="D129" s="12">
        <f>IF(F128+SUM(E$99:E128)=D$92,F128,D$92-SUM(E$99:E128))</f>
        <v>878300</v>
      </c>
      <c r="E129" s="355">
        <f t="shared" si="69"/>
        <v>89345</v>
      </c>
      <c r="F129" s="55">
        <f t="shared" si="70"/>
        <v>788955</v>
      </c>
      <c r="G129" s="55">
        <f t="shared" si="71"/>
        <v>833627.5</v>
      </c>
      <c r="H129" s="356">
        <f t="shared" si="72"/>
        <v>201316.77021826099</v>
      </c>
      <c r="I129" s="381">
        <f t="shared" si="73"/>
        <v>201316.77021826099</v>
      </c>
      <c r="J129" s="54">
        <f t="shared" si="37"/>
        <v>0</v>
      </c>
      <c r="K129" s="54"/>
      <c r="L129" s="115"/>
      <c r="M129" s="54">
        <f t="shared" si="74"/>
        <v>0</v>
      </c>
      <c r="N129" s="115"/>
      <c r="O129" s="54">
        <f t="shared" si="52"/>
        <v>0</v>
      </c>
      <c r="P129" s="54">
        <f t="shared" si="53"/>
        <v>0</v>
      </c>
    </row>
    <row r="130" spans="2:16" ht="12.5">
      <c r="B130" s="7" t="str">
        <f t="shared" si="43"/>
        <v/>
      </c>
      <c r="C130" s="50">
        <f>IF(D93="","-",+C129+1)</f>
        <v>2043</v>
      </c>
      <c r="D130" s="12">
        <f>IF(F129+SUM(E$99:E129)=D$92,F129,D$92-SUM(E$99:E129))</f>
        <v>788955</v>
      </c>
      <c r="E130" s="355">
        <f t="shared" si="69"/>
        <v>89345</v>
      </c>
      <c r="F130" s="55">
        <f t="shared" si="70"/>
        <v>699610</v>
      </c>
      <c r="G130" s="55">
        <f t="shared" si="71"/>
        <v>744282.5</v>
      </c>
      <c r="H130" s="356">
        <f t="shared" si="72"/>
        <v>189316.06509498888</v>
      </c>
      <c r="I130" s="381">
        <f t="shared" si="73"/>
        <v>189316.06509498888</v>
      </c>
      <c r="J130" s="54">
        <f t="shared" si="37"/>
        <v>0</v>
      </c>
      <c r="K130" s="54"/>
      <c r="L130" s="115"/>
      <c r="M130" s="54">
        <f t="shared" si="74"/>
        <v>0</v>
      </c>
      <c r="N130" s="115"/>
      <c r="O130" s="54">
        <f t="shared" si="52"/>
        <v>0</v>
      </c>
      <c r="P130" s="54">
        <f t="shared" si="53"/>
        <v>0</v>
      </c>
    </row>
    <row r="131" spans="2:16" ht="12.5">
      <c r="B131" s="7" t="str">
        <f t="shared" si="43"/>
        <v/>
      </c>
      <c r="C131" s="50">
        <f>IF(D93="","-",+C130+1)</f>
        <v>2044</v>
      </c>
      <c r="D131" s="12">
        <f>IF(F130+SUM(E$99:E130)=D$92,F130,D$92-SUM(E$99:E130))</f>
        <v>699610</v>
      </c>
      <c r="E131" s="355">
        <f t="shared" si="69"/>
        <v>89345</v>
      </c>
      <c r="F131" s="55">
        <f t="shared" si="70"/>
        <v>610265</v>
      </c>
      <c r="G131" s="55">
        <f t="shared" si="71"/>
        <v>654937.5</v>
      </c>
      <c r="H131" s="356">
        <f t="shared" ref="H131:H154" si="75">+J$94*G131+E131</f>
        <v>177315.35997171677</v>
      </c>
      <c r="I131" s="381">
        <f t="shared" ref="I131:I154" si="76">+J$95*G131+E131</f>
        <v>177315.35997171677</v>
      </c>
      <c r="J131" s="54">
        <f t="shared" ref="J131:J154" si="77">+I540-H540</f>
        <v>0</v>
      </c>
      <c r="K131" s="54"/>
      <c r="L131" s="115"/>
      <c r="M131" s="54">
        <f t="shared" ref="M131:M154" si="78">IF(L540&lt;&gt;0,+H540-L540,0)</f>
        <v>0</v>
      </c>
      <c r="N131" s="115"/>
      <c r="O131" s="54">
        <f t="shared" ref="O131:O154" si="79">IF(N540&lt;&gt;0,+I540-N540,0)</f>
        <v>0</v>
      </c>
      <c r="P131" s="54">
        <f t="shared" ref="P131:P154" si="80">+O540-M540</f>
        <v>0</v>
      </c>
    </row>
    <row r="132" spans="2:16" ht="12.5">
      <c r="B132" s="7" t="str">
        <f t="shared" ref="B132:B154" si="81">IF(D132=F131,"","IU")</f>
        <v/>
      </c>
      <c r="C132" s="50">
        <f>IF(D93="","-",+C131+1)</f>
        <v>2045</v>
      </c>
      <c r="D132" s="12">
        <f>IF(F131+SUM(E$99:E131)=D$92,F131,D$92-SUM(E$99:E131))</f>
        <v>610265</v>
      </c>
      <c r="E132" s="355">
        <f t="shared" si="69"/>
        <v>89345</v>
      </c>
      <c r="F132" s="55">
        <f t="shared" si="70"/>
        <v>520920</v>
      </c>
      <c r="G132" s="55">
        <f t="shared" si="71"/>
        <v>565592.5</v>
      </c>
      <c r="H132" s="356">
        <f t="shared" si="75"/>
        <v>165314.65484844462</v>
      </c>
      <c r="I132" s="381">
        <f t="shared" si="76"/>
        <v>165314.65484844462</v>
      </c>
      <c r="J132" s="54">
        <f t="shared" si="77"/>
        <v>0</v>
      </c>
      <c r="K132" s="54"/>
      <c r="L132" s="115"/>
      <c r="M132" s="54">
        <f t="shared" si="78"/>
        <v>0</v>
      </c>
      <c r="N132" s="115"/>
      <c r="O132" s="54">
        <f t="shared" si="79"/>
        <v>0</v>
      </c>
      <c r="P132" s="54">
        <f t="shared" si="80"/>
        <v>0</v>
      </c>
    </row>
    <row r="133" spans="2:16" ht="12.5">
      <c r="B133" s="7" t="str">
        <f t="shared" si="81"/>
        <v/>
      </c>
      <c r="C133" s="50">
        <f>IF(D93="","-",+C132+1)</f>
        <v>2046</v>
      </c>
      <c r="D133" s="12">
        <f>IF(F132+SUM(E$99:E132)=D$92,F132,D$92-SUM(E$99:E132))</f>
        <v>520920</v>
      </c>
      <c r="E133" s="355">
        <f t="shared" si="69"/>
        <v>89345</v>
      </c>
      <c r="F133" s="55">
        <f t="shared" si="70"/>
        <v>431575</v>
      </c>
      <c r="G133" s="55">
        <f t="shared" si="71"/>
        <v>476247.5</v>
      </c>
      <c r="H133" s="356">
        <f t="shared" si="75"/>
        <v>153313.94972517251</v>
      </c>
      <c r="I133" s="381">
        <f t="shared" si="76"/>
        <v>153313.94972517251</v>
      </c>
      <c r="J133" s="54">
        <f t="shared" si="77"/>
        <v>0</v>
      </c>
      <c r="K133" s="54"/>
      <c r="L133" s="115"/>
      <c r="M133" s="54">
        <f t="shared" si="78"/>
        <v>0</v>
      </c>
      <c r="N133" s="115"/>
      <c r="O133" s="54">
        <f t="shared" si="79"/>
        <v>0</v>
      </c>
      <c r="P133" s="54">
        <f t="shared" si="80"/>
        <v>0</v>
      </c>
    </row>
    <row r="134" spans="2:16" ht="12.5">
      <c r="B134" s="7" t="str">
        <f t="shared" si="81"/>
        <v/>
      </c>
      <c r="C134" s="50">
        <f>IF(D93="","-",+C133+1)</f>
        <v>2047</v>
      </c>
      <c r="D134" s="12">
        <f>IF(F133+SUM(E$99:E133)=D$92,F133,D$92-SUM(E$99:E133))</f>
        <v>431575</v>
      </c>
      <c r="E134" s="355">
        <f t="shared" si="69"/>
        <v>89345</v>
      </c>
      <c r="F134" s="55">
        <f t="shared" si="70"/>
        <v>342230</v>
      </c>
      <c r="G134" s="55">
        <f t="shared" si="71"/>
        <v>386902.5</v>
      </c>
      <c r="H134" s="356">
        <f t="shared" si="75"/>
        <v>141313.2446019004</v>
      </c>
      <c r="I134" s="381">
        <f t="shared" si="76"/>
        <v>141313.2446019004</v>
      </c>
      <c r="J134" s="54">
        <f t="shared" si="77"/>
        <v>0</v>
      </c>
      <c r="K134" s="54"/>
      <c r="L134" s="115"/>
      <c r="M134" s="54">
        <f t="shared" si="78"/>
        <v>0</v>
      </c>
      <c r="N134" s="115"/>
      <c r="O134" s="54">
        <f t="shared" si="79"/>
        <v>0</v>
      </c>
      <c r="P134" s="54">
        <f t="shared" si="80"/>
        <v>0</v>
      </c>
    </row>
    <row r="135" spans="2:16" ht="12.5">
      <c r="B135" s="7" t="str">
        <f t="shared" si="81"/>
        <v/>
      </c>
      <c r="C135" s="50">
        <f>IF(D93="","-",+C134+1)</f>
        <v>2048</v>
      </c>
      <c r="D135" s="12">
        <f>IF(F134+SUM(E$99:E134)=D$92,F134,D$92-SUM(E$99:E134))</f>
        <v>342230</v>
      </c>
      <c r="E135" s="355">
        <f t="shared" si="69"/>
        <v>89345</v>
      </c>
      <c r="F135" s="55">
        <f t="shared" si="70"/>
        <v>252885</v>
      </c>
      <c r="G135" s="55">
        <f t="shared" si="71"/>
        <v>297557.5</v>
      </c>
      <c r="H135" s="356">
        <f t="shared" si="75"/>
        <v>129312.53947862828</v>
      </c>
      <c r="I135" s="381">
        <f t="shared" si="76"/>
        <v>129312.53947862828</v>
      </c>
      <c r="J135" s="54">
        <f t="shared" si="77"/>
        <v>0</v>
      </c>
      <c r="K135" s="54"/>
      <c r="L135" s="115"/>
      <c r="M135" s="54">
        <f t="shared" si="78"/>
        <v>0</v>
      </c>
      <c r="N135" s="115"/>
      <c r="O135" s="54">
        <f t="shared" si="79"/>
        <v>0</v>
      </c>
      <c r="P135" s="54">
        <f t="shared" si="80"/>
        <v>0</v>
      </c>
    </row>
    <row r="136" spans="2:16" ht="12.5">
      <c r="B136" s="7" t="str">
        <f t="shared" si="81"/>
        <v/>
      </c>
      <c r="C136" s="50">
        <f>IF(D93="","-",+C135+1)</f>
        <v>2049</v>
      </c>
      <c r="D136" s="12">
        <f>IF(F135+SUM(E$99:E135)=D$92,F135,D$92-SUM(E$99:E135))</f>
        <v>252885</v>
      </c>
      <c r="E136" s="355">
        <f t="shared" si="69"/>
        <v>89345</v>
      </c>
      <c r="F136" s="55">
        <f t="shared" si="70"/>
        <v>163540</v>
      </c>
      <c r="G136" s="55">
        <f t="shared" si="71"/>
        <v>208212.5</v>
      </c>
      <c r="H136" s="356">
        <f t="shared" si="75"/>
        <v>117311.83435535616</v>
      </c>
      <c r="I136" s="381">
        <f t="shared" si="76"/>
        <v>117311.83435535616</v>
      </c>
      <c r="J136" s="54">
        <f t="shared" si="77"/>
        <v>0</v>
      </c>
      <c r="K136" s="54"/>
      <c r="L136" s="115"/>
      <c r="M136" s="54">
        <f t="shared" si="78"/>
        <v>0</v>
      </c>
      <c r="N136" s="115"/>
      <c r="O136" s="54">
        <f t="shared" si="79"/>
        <v>0</v>
      </c>
      <c r="P136" s="54">
        <f t="shared" si="80"/>
        <v>0</v>
      </c>
    </row>
    <row r="137" spans="2:16" ht="12.5">
      <c r="B137" s="7" t="str">
        <f t="shared" si="81"/>
        <v/>
      </c>
      <c r="C137" s="50">
        <f>IF(D93="","-",+C136+1)</f>
        <v>2050</v>
      </c>
      <c r="D137" s="12">
        <f>IF(F136+SUM(E$99:E136)=D$92,F136,D$92-SUM(E$99:E136))</f>
        <v>163540</v>
      </c>
      <c r="E137" s="355">
        <f t="shared" si="69"/>
        <v>89345</v>
      </c>
      <c r="F137" s="55">
        <f t="shared" si="70"/>
        <v>74195</v>
      </c>
      <c r="G137" s="55">
        <f t="shared" si="71"/>
        <v>118867.5</v>
      </c>
      <c r="H137" s="356">
        <f t="shared" si="75"/>
        <v>105311.12923208404</v>
      </c>
      <c r="I137" s="381">
        <f t="shared" si="76"/>
        <v>105311.12923208404</v>
      </c>
      <c r="J137" s="54">
        <f t="shared" si="77"/>
        <v>0</v>
      </c>
      <c r="K137" s="54"/>
      <c r="L137" s="115"/>
      <c r="M137" s="54">
        <f t="shared" si="78"/>
        <v>0</v>
      </c>
      <c r="N137" s="115"/>
      <c r="O137" s="54">
        <f t="shared" si="79"/>
        <v>0</v>
      </c>
      <c r="P137" s="54">
        <f t="shared" si="80"/>
        <v>0</v>
      </c>
    </row>
    <row r="138" spans="2:16" ht="12.5">
      <c r="B138" s="7" t="str">
        <f t="shared" si="81"/>
        <v/>
      </c>
      <c r="C138" s="50">
        <f>IF(D93="","-",+C137+1)</f>
        <v>2051</v>
      </c>
      <c r="D138" s="12">
        <f>IF(F137+SUM(E$99:E137)=D$92,F137,D$92-SUM(E$99:E137))</f>
        <v>74195</v>
      </c>
      <c r="E138" s="355">
        <f t="shared" si="69"/>
        <v>74195</v>
      </c>
      <c r="F138" s="55">
        <f t="shared" si="70"/>
        <v>0</v>
      </c>
      <c r="G138" s="55">
        <f t="shared" si="71"/>
        <v>37097.5</v>
      </c>
      <c r="H138" s="356">
        <f t="shared" si="75"/>
        <v>79177.888335223994</v>
      </c>
      <c r="I138" s="381">
        <f t="shared" si="76"/>
        <v>79177.888335223994</v>
      </c>
      <c r="J138" s="54">
        <f t="shared" si="77"/>
        <v>0</v>
      </c>
      <c r="K138" s="54"/>
      <c r="L138" s="115"/>
      <c r="M138" s="54">
        <f t="shared" si="78"/>
        <v>0</v>
      </c>
      <c r="N138" s="115"/>
      <c r="O138" s="54">
        <f t="shared" si="79"/>
        <v>0</v>
      </c>
      <c r="P138" s="54">
        <f t="shared" si="80"/>
        <v>0</v>
      </c>
    </row>
    <row r="139" spans="2:16" ht="12.5">
      <c r="B139" s="7" t="str">
        <f t="shared" si="81"/>
        <v/>
      </c>
      <c r="C139" s="50">
        <f>IF(D93="","-",+C138+1)</f>
        <v>2052</v>
      </c>
      <c r="D139" s="12">
        <f>IF(F138+SUM(E$99:E138)=D$92,F138,D$92-SUM(E$99:E138))</f>
        <v>0</v>
      </c>
      <c r="E139" s="355">
        <f t="shared" si="69"/>
        <v>0</v>
      </c>
      <c r="F139" s="55">
        <f t="shared" si="70"/>
        <v>0</v>
      </c>
      <c r="G139" s="55">
        <f t="shared" si="71"/>
        <v>0</v>
      </c>
      <c r="H139" s="356">
        <f t="shared" si="75"/>
        <v>0</v>
      </c>
      <c r="I139" s="381">
        <f t="shared" si="76"/>
        <v>0</v>
      </c>
      <c r="J139" s="54">
        <f t="shared" si="77"/>
        <v>0</v>
      </c>
      <c r="K139" s="54"/>
      <c r="L139" s="115"/>
      <c r="M139" s="54">
        <f t="shared" si="78"/>
        <v>0</v>
      </c>
      <c r="N139" s="115"/>
      <c r="O139" s="54">
        <f t="shared" si="79"/>
        <v>0</v>
      </c>
      <c r="P139" s="54">
        <f t="shared" si="80"/>
        <v>0</v>
      </c>
    </row>
    <row r="140" spans="2:16" ht="12.5">
      <c r="B140" s="7" t="str">
        <f t="shared" si="81"/>
        <v/>
      </c>
      <c r="C140" s="50">
        <f>IF(D93="","-",+C139+1)</f>
        <v>2053</v>
      </c>
      <c r="D140" s="12">
        <f>IF(F139+SUM(E$99:E139)=D$92,F139,D$92-SUM(E$99:E139))</f>
        <v>0</v>
      </c>
      <c r="E140" s="355">
        <f t="shared" si="69"/>
        <v>0</v>
      </c>
      <c r="F140" s="55">
        <f t="shared" si="70"/>
        <v>0</v>
      </c>
      <c r="G140" s="55">
        <f t="shared" si="71"/>
        <v>0</v>
      </c>
      <c r="H140" s="356">
        <f t="shared" si="75"/>
        <v>0</v>
      </c>
      <c r="I140" s="381">
        <f t="shared" si="76"/>
        <v>0</v>
      </c>
      <c r="J140" s="54">
        <f t="shared" si="77"/>
        <v>0</v>
      </c>
      <c r="K140" s="54"/>
      <c r="L140" s="115"/>
      <c r="M140" s="54">
        <f t="shared" si="78"/>
        <v>0</v>
      </c>
      <c r="N140" s="115"/>
      <c r="O140" s="54">
        <f t="shared" si="79"/>
        <v>0</v>
      </c>
      <c r="P140" s="54">
        <f t="shared" si="80"/>
        <v>0</v>
      </c>
    </row>
    <row r="141" spans="2:16" ht="12.5">
      <c r="B141" s="7" t="str">
        <f t="shared" si="81"/>
        <v/>
      </c>
      <c r="C141" s="50">
        <f>IF(D93="","-",+C140+1)</f>
        <v>2054</v>
      </c>
      <c r="D141" s="12">
        <f>IF(F140+SUM(E$99:E140)=D$92,F140,D$92-SUM(E$99:E140))</f>
        <v>0</v>
      </c>
      <c r="E141" s="355">
        <f t="shared" si="69"/>
        <v>0</v>
      </c>
      <c r="F141" s="55">
        <f t="shared" si="70"/>
        <v>0</v>
      </c>
      <c r="G141" s="55">
        <f t="shared" si="71"/>
        <v>0</v>
      </c>
      <c r="H141" s="356">
        <f t="shared" si="75"/>
        <v>0</v>
      </c>
      <c r="I141" s="381">
        <f t="shared" si="76"/>
        <v>0</v>
      </c>
      <c r="J141" s="54">
        <f t="shared" si="77"/>
        <v>0</v>
      </c>
      <c r="K141" s="54"/>
      <c r="L141" s="115"/>
      <c r="M141" s="54">
        <f t="shared" si="78"/>
        <v>0</v>
      </c>
      <c r="N141" s="115"/>
      <c r="O141" s="54">
        <f t="shared" si="79"/>
        <v>0</v>
      </c>
      <c r="P141" s="54">
        <f t="shared" si="80"/>
        <v>0</v>
      </c>
    </row>
    <row r="142" spans="2:16" ht="12.5">
      <c r="B142" s="7" t="str">
        <f t="shared" si="81"/>
        <v/>
      </c>
      <c r="C142" s="50">
        <f>IF(D93="","-",+C141+1)</f>
        <v>2055</v>
      </c>
      <c r="D142" s="12">
        <f>IF(F141+SUM(E$99:E141)=D$92,F141,D$92-SUM(E$99:E141))</f>
        <v>0</v>
      </c>
      <c r="E142" s="355">
        <f t="shared" si="69"/>
        <v>0</v>
      </c>
      <c r="F142" s="55">
        <f t="shared" si="70"/>
        <v>0</v>
      </c>
      <c r="G142" s="55">
        <f t="shared" si="71"/>
        <v>0</v>
      </c>
      <c r="H142" s="356">
        <f t="shared" si="75"/>
        <v>0</v>
      </c>
      <c r="I142" s="381">
        <f t="shared" si="76"/>
        <v>0</v>
      </c>
      <c r="J142" s="54">
        <f t="shared" si="77"/>
        <v>0</v>
      </c>
      <c r="K142" s="54"/>
      <c r="L142" s="115"/>
      <c r="M142" s="54">
        <f t="shared" si="78"/>
        <v>0</v>
      </c>
      <c r="N142" s="115"/>
      <c r="O142" s="54">
        <f t="shared" si="79"/>
        <v>0</v>
      </c>
      <c r="P142" s="54">
        <f t="shared" si="80"/>
        <v>0</v>
      </c>
    </row>
    <row r="143" spans="2:16" ht="12.5">
      <c r="B143" s="7" t="str">
        <f t="shared" si="81"/>
        <v/>
      </c>
      <c r="C143" s="50">
        <f>IF(D93="","-",+C142+1)</f>
        <v>2056</v>
      </c>
      <c r="D143" s="12">
        <f>IF(F142+SUM(E$99:E142)=D$92,F142,D$92-SUM(E$99:E142))</f>
        <v>0</v>
      </c>
      <c r="E143" s="355">
        <f t="shared" si="69"/>
        <v>0</v>
      </c>
      <c r="F143" s="55">
        <f t="shared" si="70"/>
        <v>0</v>
      </c>
      <c r="G143" s="55">
        <f t="shared" si="71"/>
        <v>0</v>
      </c>
      <c r="H143" s="356">
        <f t="shared" si="75"/>
        <v>0</v>
      </c>
      <c r="I143" s="381">
        <f t="shared" si="76"/>
        <v>0</v>
      </c>
      <c r="J143" s="54">
        <f t="shared" si="77"/>
        <v>0</v>
      </c>
      <c r="K143" s="54"/>
      <c r="L143" s="115"/>
      <c r="M143" s="54">
        <f t="shared" si="78"/>
        <v>0</v>
      </c>
      <c r="N143" s="115"/>
      <c r="O143" s="54">
        <f t="shared" si="79"/>
        <v>0</v>
      </c>
      <c r="P143" s="54">
        <f t="shared" si="80"/>
        <v>0</v>
      </c>
    </row>
    <row r="144" spans="2:16" ht="12.5">
      <c r="B144" s="7" t="str">
        <f t="shared" si="81"/>
        <v/>
      </c>
      <c r="C144" s="50">
        <f>IF(D93="","-",+C143+1)</f>
        <v>2057</v>
      </c>
      <c r="D144" s="12">
        <f>IF(F143+SUM(E$99:E143)=D$92,F143,D$92-SUM(E$99:E143))</f>
        <v>0</v>
      </c>
      <c r="E144" s="355">
        <f t="shared" si="69"/>
        <v>0</v>
      </c>
      <c r="F144" s="55">
        <f t="shared" si="70"/>
        <v>0</v>
      </c>
      <c r="G144" s="55">
        <f t="shared" si="71"/>
        <v>0</v>
      </c>
      <c r="H144" s="356">
        <f t="shared" si="75"/>
        <v>0</v>
      </c>
      <c r="I144" s="381">
        <f t="shared" si="76"/>
        <v>0</v>
      </c>
      <c r="J144" s="54">
        <f t="shared" si="77"/>
        <v>0</v>
      </c>
      <c r="K144" s="54"/>
      <c r="L144" s="115"/>
      <c r="M144" s="54">
        <f t="shared" si="78"/>
        <v>0</v>
      </c>
      <c r="N144" s="115"/>
      <c r="O144" s="54">
        <f t="shared" si="79"/>
        <v>0</v>
      </c>
      <c r="P144" s="54">
        <f t="shared" si="80"/>
        <v>0</v>
      </c>
    </row>
    <row r="145" spans="2:16" ht="12.5">
      <c r="B145" s="7" t="str">
        <f t="shared" si="81"/>
        <v/>
      </c>
      <c r="C145" s="50">
        <f>IF(D93="","-",+C144+1)</f>
        <v>2058</v>
      </c>
      <c r="D145" s="12">
        <f>IF(F144+SUM(E$99:E144)=D$92,F144,D$92-SUM(E$99:E144))</f>
        <v>0</v>
      </c>
      <c r="E145" s="355">
        <f t="shared" si="69"/>
        <v>0</v>
      </c>
      <c r="F145" s="55">
        <f t="shared" si="70"/>
        <v>0</v>
      </c>
      <c r="G145" s="55">
        <f t="shared" si="71"/>
        <v>0</v>
      </c>
      <c r="H145" s="356">
        <f t="shared" si="75"/>
        <v>0</v>
      </c>
      <c r="I145" s="381">
        <f t="shared" si="76"/>
        <v>0</v>
      </c>
      <c r="J145" s="54">
        <f t="shared" si="77"/>
        <v>0</v>
      </c>
      <c r="K145" s="54"/>
      <c r="L145" s="115"/>
      <c r="M145" s="54">
        <f t="shared" si="78"/>
        <v>0</v>
      </c>
      <c r="N145" s="115"/>
      <c r="O145" s="54">
        <f t="shared" si="79"/>
        <v>0</v>
      </c>
      <c r="P145" s="54">
        <f t="shared" si="80"/>
        <v>0</v>
      </c>
    </row>
    <row r="146" spans="2:16" ht="12.5">
      <c r="B146" s="7" t="str">
        <f t="shared" si="81"/>
        <v/>
      </c>
      <c r="C146" s="50">
        <f>IF(D93="","-",+C145+1)</f>
        <v>2059</v>
      </c>
      <c r="D146" s="12">
        <f>IF(F145+SUM(E$99:E145)=D$92,F145,D$92-SUM(E$99:E145))</f>
        <v>0</v>
      </c>
      <c r="E146" s="355">
        <f t="shared" si="69"/>
        <v>0</v>
      </c>
      <c r="F146" s="55">
        <f t="shared" si="70"/>
        <v>0</v>
      </c>
      <c r="G146" s="55">
        <f t="shared" si="71"/>
        <v>0</v>
      </c>
      <c r="H146" s="356">
        <f t="shared" si="75"/>
        <v>0</v>
      </c>
      <c r="I146" s="381">
        <f t="shared" si="76"/>
        <v>0</v>
      </c>
      <c r="J146" s="54">
        <f t="shared" si="77"/>
        <v>0</v>
      </c>
      <c r="K146" s="54"/>
      <c r="L146" s="115"/>
      <c r="M146" s="54">
        <f t="shared" si="78"/>
        <v>0</v>
      </c>
      <c r="N146" s="115"/>
      <c r="O146" s="54">
        <f t="shared" si="79"/>
        <v>0</v>
      </c>
      <c r="P146" s="54">
        <f t="shared" si="80"/>
        <v>0</v>
      </c>
    </row>
    <row r="147" spans="2:16" ht="12.5">
      <c r="B147" s="7" t="str">
        <f t="shared" si="81"/>
        <v/>
      </c>
      <c r="C147" s="50">
        <f>IF(D93="","-",+C146+1)</f>
        <v>2060</v>
      </c>
      <c r="D147" s="12">
        <f>IF(F146+SUM(E$99:E146)=D$92,F146,D$92-SUM(E$99:E146))</f>
        <v>0</v>
      </c>
      <c r="E147" s="355">
        <f t="shared" si="69"/>
        <v>0</v>
      </c>
      <c r="F147" s="55">
        <f t="shared" si="70"/>
        <v>0</v>
      </c>
      <c r="G147" s="55">
        <f t="shared" si="71"/>
        <v>0</v>
      </c>
      <c r="H147" s="356">
        <f t="shared" si="75"/>
        <v>0</v>
      </c>
      <c r="I147" s="381">
        <f t="shared" si="76"/>
        <v>0</v>
      </c>
      <c r="J147" s="54">
        <f t="shared" si="77"/>
        <v>0</v>
      </c>
      <c r="K147" s="54"/>
      <c r="L147" s="115"/>
      <c r="M147" s="54">
        <f t="shared" si="78"/>
        <v>0</v>
      </c>
      <c r="N147" s="115"/>
      <c r="O147" s="54">
        <f t="shared" si="79"/>
        <v>0</v>
      </c>
      <c r="P147" s="54">
        <f t="shared" si="80"/>
        <v>0</v>
      </c>
    </row>
    <row r="148" spans="2:16" ht="12.5">
      <c r="B148" s="7" t="str">
        <f t="shared" si="81"/>
        <v/>
      </c>
      <c r="C148" s="50">
        <f>IF(D93="","-",+C147+1)</f>
        <v>2061</v>
      </c>
      <c r="D148" s="12">
        <f>IF(F147+SUM(E$99:E147)=D$92,F147,D$92-SUM(E$99:E147))</f>
        <v>0</v>
      </c>
      <c r="E148" s="355">
        <f t="shared" si="69"/>
        <v>0</v>
      </c>
      <c r="F148" s="55">
        <f t="shared" si="70"/>
        <v>0</v>
      </c>
      <c r="G148" s="55">
        <f t="shared" si="71"/>
        <v>0</v>
      </c>
      <c r="H148" s="356">
        <f t="shared" si="75"/>
        <v>0</v>
      </c>
      <c r="I148" s="381">
        <f t="shared" si="76"/>
        <v>0</v>
      </c>
      <c r="J148" s="54">
        <f t="shared" si="77"/>
        <v>0</v>
      </c>
      <c r="K148" s="54"/>
      <c r="L148" s="115"/>
      <c r="M148" s="54">
        <f t="shared" si="78"/>
        <v>0</v>
      </c>
      <c r="N148" s="115"/>
      <c r="O148" s="54">
        <f t="shared" si="79"/>
        <v>0</v>
      </c>
      <c r="P148" s="54">
        <f t="shared" si="80"/>
        <v>0</v>
      </c>
    </row>
    <row r="149" spans="2:16" ht="12.5">
      <c r="B149" s="7" t="str">
        <f t="shared" si="81"/>
        <v/>
      </c>
      <c r="C149" s="50">
        <f>IF(D93="","-",+C148+1)</f>
        <v>2062</v>
      </c>
      <c r="D149" s="12">
        <f>IF(F148+SUM(E$99:E148)=D$92,F148,D$92-SUM(E$99:E148))</f>
        <v>0</v>
      </c>
      <c r="E149" s="355">
        <f t="shared" si="69"/>
        <v>0</v>
      </c>
      <c r="F149" s="55">
        <f t="shared" si="70"/>
        <v>0</v>
      </c>
      <c r="G149" s="55">
        <f t="shared" si="71"/>
        <v>0</v>
      </c>
      <c r="H149" s="356">
        <f t="shared" si="75"/>
        <v>0</v>
      </c>
      <c r="I149" s="381">
        <f t="shared" si="76"/>
        <v>0</v>
      </c>
      <c r="J149" s="54">
        <f t="shared" si="77"/>
        <v>0</v>
      </c>
      <c r="K149" s="54"/>
      <c r="L149" s="115"/>
      <c r="M149" s="54">
        <f t="shared" si="78"/>
        <v>0</v>
      </c>
      <c r="N149" s="115"/>
      <c r="O149" s="54">
        <f t="shared" si="79"/>
        <v>0</v>
      </c>
      <c r="P149" s="54">
        <f t="shared" si="80"/>
        <v>0</v>
      </c>
    </row>
    <row r="150" spans="2:16" ht="12.5">
      <c r="B150" s="7" t="str">
        <f t="shared" si="81"/>
        <v/>
      </c>
      <c r="C150" s="50">
        <f>IF(D93="","-",+C149+1)</f>
        <v>2063</v>
      </c>
      <c r="D150" s="12">
        <f>IF(F149+SUM(E$99:E149)=D$92,F149,D$92-SUM(E$99:E149))</f>
        <v>0</v>
      </c>
      <c r="E150" s="355">
        <f t="shared" si="69"/>
        <v>0</v>
      </c>
      <c r="F150" s="55">
        <f t="shared" si="70"/>
        <v>0</v>
      </c>
      <c r="G150" s="55">
        <f t="shared" si="71"/>
        <v>0</v>
      </c>
      <c r="H150" s="356">
        <f t="shared" si="75"/>
        <v>0</v>
      </c>
      <c r="I150" s="381">
        <f t="shared" si="76"/>
        <v>0</v>
      </c>
      <c r="J150" s="54">
        <f t="shared" si="77"/>
        <v>0</v>
      </c>
      <c r="K150" s="54"/>
      <c r="L150" s="115"/>
      <c r="M150" s="54">
        <f t="shared" si="78"/>
        <v>0</v>
      </c>
      <c r="N150" s="115"/>
      <c r="O150" s="54">
        <f t="shared" si="79"/>
        <v>0</v>
      </c>
      <c r="P150" s="54">
        <f t="shared" si="80"/>
        <v>0</v>
      </c>
    </row>
    <row r="151" spans="2:16" ht="12.5">
      <c r="B151" s="7" t="str">
        <f t="shared" si="81"/>
        <v/>
      </c>
      <c r="C151" s="50">
        <f>IF(D93="","-",+C150+1)</f>
        <v>2064</v>
      </c>
      <c r="D151" s="12">
        <f>IF(F150+SUM(E$99:E150)=D$92,F150,D$92-SUM(E$99:E150))</f>
        <v>0</v>
      </c>
      <c r="E151" s="355">
        <f t="shared" si="69"/>
        <v>0</v>
      </c>
      <c r="F151" s="55">
        <f t="shared" si="70"/>
        <v>0</v>
      </c>
      <c r="G151" s="55">
        <f t="shared" si="71"/>
        <v>0</v>
      </c>
      <c r="H151" s="356">
        <f t="shared" si="75"/>
        <v>0</v>
      </c>
      <c r="I151" s="381">
        <f t="shared" si="76"/>
        <v>0</v>
      </c>
      <c r="J151" s="54">
        <f t="shared" si="77"/>
        <v>0</v>
      </c>
      <c r="K151" s="54"/>
      <c r="L151" s="115"/>
      <c r="M151" s="54">
        <f t="shared" si="78"/>
        <v>0</v>
      </c>
      <c r="N151" s="115"/>
      <c r="O151" s="54">
        <f t="shared" si="79"/>
        <v>0</v>
      </c>
      <c r="P151" s="54">
        <f t="shared" si="80"/>
        <v>0</v>
      </c>
    </row>
    <row r="152" spans="2:16" ht="12.5">
      <c r="B152" s="7" t="str">
        <f t="shared" si="81"/>
        <v/>
      </c>
      <c r="C152" s="50">
        <f>IF(D93="","-",+C151+1)</f>
        <v>2065</v>
      </c>
      <c r="D152" s="12">
        <f>IF(F151+SUM(E$99:E151)=D$92,F151,D$92-SUM(E$99:E151))</f>
        <v>0</v>
      </c>
      <c r="E152" s="355">
        <f t="shared" si="69"/>
        <v>0</v>
      </c>
      <c r="F152" s="55">
        <f t="shared" si="70"/>
        <v>0</v>
      </c>
      <c r="G152" s="55">
        <f t="shared" si="71"/>
        <v>0</v>
      </c>
      <c r="H152" s="356">
        <f t="shared" si="75"/>
        <v>0</v>
      </c>
      <c r="I152" s="381">
        <f t="shared" si="76"/>
        <v>0</v>
      </c>
      <c r="J152" s="54">
        <f t="shared" si="77"/>
        <v>0</v>
      </c>
      <c r="K152" s="54"/>
      <c r="L152" s="115"/>
      <c r="M152" s="54">
        <f t="shared" si="78"/>
        <v>0</v>
      </c>
      <c r="N152" s="115"/>
      <c r="O152" s="54">
        <f t="shared" si="79"/>
        <v>0</v>
      </c>
      <c r="P152" s="54">
        <f t="shared" si="80"/>
        <v>0</v>
      </c>
    </row>
    <row r="153" spans="2:16" ht="12.5">
      <c r="B153" s="7" t="str">
        <f t="shared" si="81"/>
        <v/>
      </c>
      <c r="C153" s="50">
        <f>IF(D93="","-",+C152+1)</f>
        <v>2066</v>
      </c>
      <c r="D153" s="12">
        <f>IF(F152+SUM(E$99:E152)=D$92,F152,D$92-SUM(E$99:E152))</f>
        <v>0</v>
      </c>
      <c r="E153" s="355">
        <f t="shared" si="69"/>
        <v>0</v>
      </c>
      <c r="F153" s="55">
        <f t="shared" si="70"/>
        <v>0</v>
      </c>
      <c r="G153" s="55">
        <f t="shared" si="71"/>
        <v>0</v>
      </c>
      <c r="H153" s="356">
        <f t="shared" si="75"/>
        <v>0</v>
      </c>
      <c r="I153" s="381">
        <f t="shared" si="76"/>
        <v>0</v>
      </c>
      <c r="J153" s="54">
        <f t="shared" si="77"/>
        <v>0</v>
      </c>
      <c r="K153" s="54"/>
      <c r="L153" s="115"/>
      <c r="M153" s="54">
        <f t="shared" si="78"/>
        <v>0</v>
      </c>
      <c r="N153" s="115"/>
      <c r="O153" s="54">
        <f t="shared" si="79"/>
        <v>0</v>
      </c>
      <c r="P153" s="54">
        <f t="shared" si="80"/>
        <v>0</v>
      </c>
    </row>
    <row r="154" spans="2:16" ht="13" thickBot="1">
      <c r="B154" s="7" t="str">
        <f t="shared" si="81"/>
        <v/>
      </c>
      <c r="C154" s="58">
        <f>IF(D93="","-",+C153+1)</f>
        <v>2067</v>
      </c>
      <c r="D154" s="82">
        <f>IF(F153+SUM(E$99:E153)=D$92,F153,D$92-SUM(E$99:E153))</f>
        <v>0</v>
      </c>
      <c r="E154" s="382">
        <f t="shared" si="69"/>
        <v>0</v>
      </c>
      <c r="F154" s="59">
        <f t="shared" si="70"/>
        <v>0</v>
      </c>
      <c r="G154" s="59">
        <f t="shared" si="71"/>
        <v>0</v>
      </c>
      <c r="H154" s="358">
        <f t="shared" si="75"/>
        <v>0</v>
      </c>
      <c r="I154" s="383">
        <f t="shared" si="76"/>
        <v>0</v>
      </c>
      <c r="J154" s="62">
        <f t="shared" si="77"/>
        <v>0</v>
      </c>
      <c r="K154" s="54"/>
      <c r="L154" s="116"/>
      <c r="M154" s="62">
        <f t="shared" si="78"/>
        <v>0</v>
      </c>
      <c r="N154" s="116"/>
      <c r="O154" s="62">
        <f t="shared" si="79"/>
        <v>0</v>
      </c>
      <c r="P154" s="62">
        <f t="shared" si="80"/>
        <v>0</v>
      </c>
    </row>
    <row r="155" spans="2:16" ht="12.5">
      <c r="C155" s="12" t="s">
        <v>77</v>
      </c>
      <c r="D155" s="267"/>
      <c r="E155" s="267">
        <f>SUM(E99:E154)</f>
        <v>3305767</v>
      </c>
      <c r="F155" s="267"/>
      <c r="G155" s="267"/>
      <c r="H155" s="267">
        <f>SUM(H99:H154)</f>
        <v>11909943.329592336</v>
      </c>
      <c r="I155" s="267">
        <f>SUM(I99:I154)</f>
        <v>11909943.329592336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3">
    <tabColor rgb="FFC00000"/>
  </sheetPr>
  <dimension ref="A1:V162"/>
  <sheetViews>
    <sheetView topLeftCell="A96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13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2317.5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2317.5</v>
      </c>
      <c r="O6" s="1"/>
      <c r="P6" s="1"/>
    </row>
    <row r="7" spans="1:16" ht="13.5" thickBot="1">
      <c r="C7" s="26" t="s">
        <v>46</v>
      </c>
      <c r="D7" s="332" t="s">
        <v>259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239</v>
      </c>
      <c r="E9" s="404" t="s">
        <v>293</v>
      </c>
      <c r="F9" s="32"/>
      <c r="G9" s="452" t="s">
        <v>399</v>
      </c>
      <c r="H9" s="32"/>
      <c r="I9" s="33"/>
      <c r="J9" s="34"/>
      <c r="P9" s="1"/>
    </row>
    <row r="10" spans="1:16" ht="13">
      <c r="C10" s="128" t="s">
        <v>226</v>
      </c>
      <c r="D10" s="336">
        <v>22097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581.5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6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D11</f>
        <v>2010</v>
      </c>
      <c r="D17" s="349">
        <v>0</v>
      </c>
      <c r="E17" s="351">
        <v>0</v>
      </c>
      <c r="F17" s="351">
        <v>0</v>
      </c>
      <c r="G17" s="351">
        <v>0</v>
      </c>
      <c r="H17" s="415">
        <v>0</v>
      </c>
      <c r="I17" s="52">
        <f t="shared" ref="I17:I48" si="0">H17-G17</f>
        <v>0</v>
      </c>
      <c r="J17" s="63"/>
      <c r="K17" s="324">
        <f t="shared" ref="K17:K22" si="1">G17</f>
        <v>0</v>
      </c>
      <c r="L17" s="416">
        <f t="shared" ref="L17:L48" si="2">IF(K17&lt;&gt;0,+G17-K17,0)</f>
        <v>0</v>
      </c>
      <c r="M17" s="324">
        <f t="shared" ref="M17:M22" si="3">H17</f>
        <v>0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 t="shared" ref="B18:B49" si="6">IF(D18=F17,"","IU")</f>
        <v/>
      </c>
      <c r="C18" s="50">
        <f>IF($D$11="","-",+C17+1)</f>
        <v>2011</v>
      </c>
      <c r="D18" s="349">
        <v>0</v>
      </c>
      <c r="E18" s="351">
        <v>0</v>
      </c>
      <c r="F18" s="351">
        <v>0</v>
      </c>
      <c r="G18" s="351">
        <v>0</v>
      </c>
      <c r="H18" s="415">
        <v>0</v>
      </c>
      <c r="I18" s="52">
        <f t="shared" si="0"/>
        <v>0</v>
      </c>
      <c r="J18" s="63"/>
      <c r="K18" s="324">
        <f t="shared" si="1"/>
        <v>0</v>
      </c>
      <c r="L18" s="63">
        <f t="shared" si="2"/>
        <v>0</v>
      </c>
      <c r="M18" s="324">
        <f t="shared" si="3"/>
        <v>0</v>
      </c>
      <c r="N18" s="52">
        <f t="shared" si="4"/>
        <v>0</v>
      </c>
      <c r="O18" s="54">
        <f t="shared" si="5"/>
        <v>0</v>
      </c>
      <c r="P18" s="1"/>
    </row>
    <row r="19" spans="2:16" ht="12.5">
      <c r="B19" s="7" t="str">
        <f t="shared" si="6"/>
        <v>IU</v>
      </c>
      <c r="C19" s="50">
        <f>IF(D11="","-",+C18+1)</f>
        <v>2012</v>
      </c>
      <c r="D19" s="349">
        <v>22097</v>
      </c>
      <c r="E19" s="352">
        <v>212.47115384615381</v>
      </c>
      <c r="F19" s="349">
        <v>21884.528846153848</v>
      </c>
      <c r="G19" s="352">
        <v>3258.944937760969</v>
      </c>
      <c r="H19" s="353">
        <v>3258.944937760969</v>
      </c>
      <c r="I19" s="52">
        <f>H19-G19</f>
        <v>0</v>
      </c>
      <c r="J19" s="63"/>
      <c r="K19" s="324">
        <f t="shared" si="1"/>
        <v>3258.944937760969</v>
      </c>
      <c r="L19" s="63">
        <f t="shared" si="2"/>
        <v>0</v>
      </c>
      <c r="M19" s="324">
        <f t="shared" si="3"/>
        <v>3258.944937760969</v>
      </c>
      <c r="N19" s="52">
        <f t="shared" si="4"/>
        <v>0</v>
      </c>
      <c r="O19" s="54">
        <f t="shared" si="5"/>
        <v>0</v>
      </c>
      <c r="P19" s="1"/>
    </row>
    <row r="20" spans="2:16" ht="12.5">
      <c r="B20" s="7" t="str">
        <f t="shared" si="6"/>
        <v/>
      </c>
      <c r="C20" s="50">
        <f>IF(D11="","-",+C19+1)</f>
        <v>2013</v>
      </c>
      <c r="D20" s="349">
        <v>21884.528846153848</v>
      </c>
      <c r="E20" s="352">
        <v>424.94230769230768</v>
      </c>
      <c r="F20" s="349">
        <v>21459.586538461539</v>
      </c>
      <c r="G20" s="352">
        <v>3489.9423076923076</v>
      </c>
      <c r="H20" s="353">
        <v>3489.9423076923076</v>
      </c>
      <c r="I20" s="52">
        <v>0</v>
      </c>
      <c r="J20" s="52"/>
      <c r="K20" s="324">
        <f t="shared" si="1"/>
        <v>3489.9423076923076</v>
      </c>
      <c r="L20" s="63">
        <f t="shared" ref="L20:L25" si="7">IF(K20&lt;&gt;0,+G20-K20,0)</f>
        <v>0</v>
      </c>
      <c r="M20" s="324">
        <f t="shared" si="3"/>
        <v>3489.9423076923076</v>
      </c>
      <c r="N20" s="52">
        <f t="shared" ref="N20:N25" si="8">IF(M20&lt;&gt;0,+H20-M20,0)</f>
        <v>0</v>
      </c>
      <c r="O20" s="54">
        <f t="shared" ref="O20:O25" si="9">+N20-L20</f>
        <v>0</v>
      </c>
      <c r="P20" s="1"/>
    </row>
    <row r="21" spans="2:16" ht="12.5">
      <c r="B21" s="7" t="str">
        <f t="shared" si="6"/>
        <v/>
      </c>
      <c r="C21" s="50">
        <f>IF(D11="","-",+C20+1)</f>
        <v>2014</v>
      </c>
      <c r="D21" s="349">
        <v>21459.586538461539</v>
      </c>
      <c r="E21" s="352">
        <v>424.94230769230768</v>
      </c>
      <c r="F21" s="349">
        <v>21034.64423076923</v>
      </c>
      <c r="G21" s="352">
        <v>3320.9423076923076</v>
      </c>
      <c r="H21" s="353">
        <v>3320.9423076923076</v>
      </c>
      <c r="I21" s="52">
        <v>0</v>
      </c>
      <c r="J21" s="52"/>
      <c r="K21" s="324">
        <f t="shared" si="1"/>
        <v>3320.9423076923076</v>
      </c>
      <c r="L21" s="63">
        <f t="shared" si="7"/>
        <v>0</v>
      </c>
      <c r="M21" s="324">
        <f t="shared" si="3"/>
        <v>3320.9423076923076</v>
      </c>
      <c r="N21" s="52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2015</v>
      </c>
      <c r="D22" s="349">
        <v>21034.64423076923</v>
      </c>
      <c r="E22" s="352">
        <v>424.94230769230768</v>
      </c>
      <c r="F22" s="349">
        <v>20609.701923076922</v>
      </c>
      <c r="G22" s="352">
        <v>3265.9423076923076</v>
      </c>
      <c r="H22" s="353">
        <v>3265.9423076923076</v>
      </c>
      <c r="I22" s="52">
        <v>0</v>
      </c>
      <c r="J22" s="52"/>
      <c r="K22" s="324">
        <f t="shared" si="1"/>
        <v>3265.9423076923076</v>
      </c>
      <c r="L22" s="63">
        <f t="shared" si="7"/>
        <v>0</v>
      </c>
      <c r="M22" s="324">
        <f t="shared" si="3"/>
        <v>3265.9423076923076</v>
      </c>
      <c r="N22" s="52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2016</v>
      </c>
      <c r="D23" s="349">
        <v>20609.701923076922</v>
      </c>
      <c r="E23" s="352">
        <v>424.94230769230768</v>
      </c>
      <c r="F23" s="349">
        <v>20184.759615384613</v>
      </c>
      <c r="G23" s="352">
        <v>3071.9423076923076</v>
      </c>
      <c r="H23" s="353">
        <v>3071.9423076923076</v>
      </c>
      <c r="I23" s="52">
        <f t="shared" si="0"/>
        <v>0</v>
      </c>
      <c r="J23" s="52"/>
      <c r="K23" s="324">
        <f t="shared" ref="K23:K28" si="10">G23</f>
        <v>3071.9423076923076</v>
      </c>
      <c r="L23" s="63">
        <f t="shared" si="7"/>
        <v>0</v>
      </c>
      <c r="M23" s="324">
        <f t="shared" ref="M23:M28" si="11">H23</f>
        <v>3071.9423076923076</v>
      </c>
      <c r="N23" s="52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2017</v>
      </c>
      <c r="D24" s="349">
        <v>20184.759615384613</v>
      </c>
      <c r="E24" s="352">
        <v>480.36956521739131</v>
      </c>
      <c r="F24" s="349">
        <v>19704.390050167221</v>
      </c>
      <c r="G24" s="352">
        <v>2988.3695652173915</v>
      </c>
      <c r="H24" s="353">
        <v>2988.3695652173915</v>
      </c>
      <c r="I24" s="52">
        <f t="shared" si="0"/>
        <v>0</v>
      </c>
      <c r="J24" s="52"/>
      <c r="K24" s="324">
        <f t="shared" si="10"/>
        <v>2988.3695652173915</v>
      </c>
      <c r="L24" s="63">
        <f t="shared" si="7"/>
        <v>0</v>
      </c>
      <c r="M24" s="324">
        <f t="shared" si="11"/>
        <v>2988.3695652173915</v>
      </c>
      <c r="N24" s="52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2018</v>
      </c>
      <c r="D25" s="349">
        <v>19704.390050167221</v>
      </c>
      <c r="E25" s="352">
        <v>491.04444444444442</v>
      </c>
      <c r="F25" s="349">
        <v>19213.345605722778</v>
      </c>
      <c r="G25" s="352">
        <v>2821.4178428916557</v>
      </c>
      <c r="H25" s="353">
        <v>2821.4178428916557</v>
      </c>
      <c r="I25" s="52">
        <f t="shared" si="0"/>
        <v>0</v>
      </c>
      <c r="J25" s="52"/>
      <c r="K25" s="324">
        <f t="shared" si="10"/>
        <v>2821.4178428916557</v>
      </c>
      <c r="L25" s="63">
        <f t="shared" si="7"/>
        <v>0</v>
      </c>
      <c r="M25" s="324">
        <f t="shared" si="11"/>
        <v>2821.4178428916557</v>
      </c>
      <c r="N25" s="52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2019</v>
      </c>
      <c r="D26" s="349">
        <v>19213.345605722778</v>
      </c>
      <c r="E26" s="352">
        <v>552.42499999999995</v>
      </c>
      <c r="F26" s="349">
        <v>18660.920605722778</v>
      </c>
      <c r="G26" s="352">
        <v>2666.8814890183439</v>
      </c>
      <c r="H26" s="353">
        <v>2666.8814890183439</v>
      </c>
      <c r="I26" s="52">
        <f t="shared" si="0"/>
        <v>0</v>
      </c>
      <c r="J26" s="52"/>
      <c r="K26" s="324">
        <f t="shared" si="10"/>
        <v>2666.8814890183439</v>
      </c>
      <c r="L26" s="63">
        <f t="shared" ref="L26" si="12">IF(K26&lt;&gt;0,+G26-K26,0)</f>
        <v>0</v>
      </c>
      <c r="M26" s="324">
        <f t="shared" si="11"/>
        <v>2666.8814890183439</v>
      </c>
      <c r="N26" s="52">
        <f t="shared" ref="N26" si="13">IF(M26&lt;&gt;0,+H26-M26,0)</f>
        <v>0</v>
      </c>
      <c r="O26" s="54">
        <f t="shared" si="5"/>
        <v>0</v>
      </c>
      <c r="P26" s="1"/>
    </row>
    <row r="27" spans="2:16" ht="12.5">
      <c r="B27" s="7" t="str">
        <f t="shared" si="6"/>
        <v>IU</v>
      </c>
      <c r="C27" s="50">
        <f>IF(D11="","-",+C26+1)</f>
        <v>2020</v>
      </c>
      <c r="D27" s="349">
        <v>18722.301161278334</v>
      </c>
      <c r="E27" s="352">
        <v>526.11904761904759</v>
      </c>
      <c r="F27" s="349">
        <v>18196.182113659288</v>
      </c>
      <c r="G27" s="352">
        <v>2519.8053226007855</v>
      </c>
      <c r="H27" s="353">
        <v>2519.8053226007855</v>
      </c>
      <c r="I27" s="52">
        <f t="shared" si="0"/>
        <v>0</v>
      </c>
      <c r="J27" s="52"/>
      <c r="K27" s="324">
        <f t="shared" si="10"/>
        <v>2519.8053226007855</v>
      </c>
      <c r="L27" s="63">
        <f t="shared" ref="L27" si="14">IF(K27&lt;&gt;0,+G27-K27,0)</f>
        <v>0</v>
      </c>
      <c r="M27" s="324">
        <f t="shared" si="11"/>
        <v>2519.8053226007855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2021</v>
      </c>
      <c r="D28" s="349">
        <v>18134.801558103733</v>
      </c>
      <c r="E28" s="352">
        <v>513.88372093023258</v>
      </c>
      <c r="F28" s="349">
        <v>17620.9178371735</v>
      </c>
      <c r="G28" s="352">
        <v>2413.8837209302328</v>
      </c>
      <c r="H28" s="353">
        <v>2413.8837209302328</v>
      </c>
      <c r="I28" s="52">
        <f t="shared" si="0"/>
        <v>0</v>
      </c>
      <c r="J28" s="52"/>
      <c r="K28" s="324">
        <f t="shared" si="10"/>
        <v>2413.8837209302328</v>
      </c>
      <c r="L28" s="63">
        <f t="shared" ref="L28" si="15">IF(K28&lt;&gt;0,+G28-K28,0)</f>
        <v>0</v>
      </c>
      <c r="M28" s="324">
        <f t="shared" si="11"/>
        <v>2413.8837209302328</v>
      </c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6"/>
        <v/>
      </c>
      <c r="C29" s="50">
        <f>IF(D11="","-",+C28+1)</f>
        <v>2022</v>
      </c>
      <c r="D29" s="349">
        <v>17620.9178371735</v>
      </c>
      <c r="E29" s="352">
        <v>526.11904761904759</v>
      </c>
      <c r="F29" s="349">
        <v>17094.798789554454</v>
      </c>
      <c r="G29" s="352">
        <v>2369.1190476190477</v>
      </c>
      <c r="H29" s="353">
        <v>2369.1190476190477</v>
      </c>
      <c r="I29" s="52">
        <f t="shared" si="0"/>
        <v>0</v>
      </c>
      <c r="J29" s="52"/>
      <c r="K29" s="324">
        <f t="shared" ref="K29" si="16">G29</f>
        <v>2369.1190476190477</v>
      </c>
      <c r="L29" s="63">
        <f t="shared" ref="L29" si="17">IF(K29&lt;&gt;0,+G29-K29,0)</f>
        <v>0</v>
      </c>
      <c r="M29" s="324">
        <f t="shared" ref="M29" si="18">H29</f>
        <v>2369.1190476190477</v>
      </c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6"/>
        <v/>
      </c>
      <c r="C30" s="50">
        <f>IF(D11="","-",+C29+1)</f>
        <v>2023</v>
      </c>
      <c r="D30" s="349">
        <v>17094.798789554454</v>
      </c>
      <c r="E30" s="352">
        <v>566.58974358974353</v>
      </c>
      <c r="F30" s="349">
        <v>16528.209045964712</v>
      </c>
      <c r="G30" s="352">
        <v>2539.5897435897436</v>
      </c>
      <c r="H30" s="353">
        <v>2539.5897435897436</v>
      </c>
      <c r="I30" s="52">
        <f t="shared" si="0"/>
        <v>0</v>
      </c>
      <c r="J30" s="52"/>
      <c r="K30" s="324">
        <f t="shared" ref="K30" si="19">G30</f>
        <v>2539.5897435897436</v>
      </c>
      <c r="L30" s="63">
        <f t="shared" ref="L30" si="20">IF(K30&lt;&gt;0,+G30-K30,0)</f>
        <v>0</v>
      </c>
      <c r="M30" s="324">
        <f t="shared" ref="M30" si="21">H30</f>
        <v>2539.5897435897436</v>
      </c>
      <c r="N30" s="54">
        <f t="shared" ref="N30" si="22">IF(M30&lt;&gt;0,+H30-M30,0)</f>
        <v>0</v>
      </c>
      <c r="O30" s="54">
        <f t="shared" ref="O30" si="23">+N30-L30</f>
        <v>0</v>
      </c>
      <c r="P30" s="1"/>
    </row>
    <row r="31" spans="2:16" ht="12.5">
      <c r="B31" s="7" t="str">
        <f t="shared" si="6"/>
        <v/>
      </c>
      <c r="C31" s="450">
        <f>IF(D11="","-",+C30+1)</f>
        <v>2024</v>
      </c>
      <c r="D31" s="349">
        <v>16528.209045964712</v>
      </c>
      <c r="E31" s="352">
        <v>581.5</v>
      </c>
      <c r="F31" s="349">
        <v>15946.709045964712</v>
      </c>
      <c r="G31" s="352">
        <v>2395.5</v>
      </c>
      <c r="H31" s="353">
        <v>2395.5</v>
      </c>
      <c r="I31" s="52">
        <f t="shared" si="0"/>
        <v>0</v>
      </c>
      <c r="J31" s="52"/>
      <c r="K31" s="324">
        <f t="shared" ref="K31" si="24">G31</f>
        <v>2395.5</v>
      </c>
      <c r="L31" s="63">
        <f t="shared" ref="L31" si="25">IF(K31&lt;&gt;0,+G31-K31,0)</f>
        <v>0</v>
      </c>
      <c r="M31" s="324">
        <f t="shared" ref="M31" si="26">H31</f>
        <v>2395.5</v>
      </c>
      <c r="N31" s="54">
        <f t="shared" ref="N31" si="27">IF(M31&lt;&gt;0,+H31-M31,0)</f>
        <v>0</v>
      </c>
      <c r="O31" s="54">
        <f t="shared" ref="O31" si="28">+N31-L31</f>
        <v>0</v>
      </c>
      <c r="P31" s="1"/>
    </row>
    <row r="32" spans="2:16" ht="13">
      <c r="B32" s="7" t="str">
        <f t="shared" si="6"/>
        <v/>
      </c>
      <c r="C32" s="449">
        <f>IF(D11="","-",+C31+1)</f>
        <v>2025</v>
      </c>
      <c r="D32" s="349">
        <v>15946.709045964712</v>
      </c>
      <c r="E32" s="352">
        <v>581.5</v>
      </c>
      <c r="F32" s="349">
        <v>15365.209045964712</v>
      </c>
      <c r="G32" s="352">
        <v>2327.5</v>
      </c>
      <c r="H32" s="353">
        <v>2327.5</v>
      </c>
      <c r="I32" s="52">
        <f t="shared" si="0"/>
        <v>0</v>
      </c>
      <c r="J32" s="52"/>
      <c r="K32" s="324">
        <f t="shared" ref="K32" si="29">G32</f>
        <v>2327.5</v>
      </c>
      <c r="L32" s="63">
        <f t="shared" ref="L32" si="30">IF(K32&lt;&gt;0,+G32-K32,0)</f>
        <v>0</v>
      </c>
      <c r="M32" s="324">
        <f t="shared" ref="M32" si="31">H32</f>
        <v>2327.5</v>
      </c>
      <c r="N32" s="54">
        <f t="shared" ref="N32" si="32">IF(M32&lt;&gt;0,+H32-M32,0)</f>
        <v>0</v>
      </c>
      <c r="O32" s="54">
        <f t="shared" ref="O32" si="33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15365.209045964712</v>
      </c>
      <c r="E33" s="354">
        <f>IF(+I14&lt;F32,I14,D33)</f>
        <v>581.5</v>
      </c>
      <c r="F33" s="55">
        <f t="shared" ref="F33:F48" si="34">+D33-E33</f>
        <v>14783.709045964712</v>
      </c>
      <c r="G33" s="355">
        <f t="shared" ref="G33:G49" si="35">ROUND(I$12*F33,0)+E33</f>
        <v>2317.5</v>
      </c>
      <c r="H33" s="337">
        <f t="shared" ref="H33:H49" si="36">ROUND(I$13*F33,0)+E33</f>
        <v>2317.5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14783.709045964712</v>
      </c>
      <c r="E34" s="354">
        <f>IF(+I14&lt;F33,I14,D34)</f>
        <v>581.5</v>
      </c>
      <c r="F34" s="55">
        <f t="shared" si="34"/>
        <v>14202.209045964712</v>
      </c>
      <c r="G34" s="355">
        <f t="shared" si="35"/>
        <v>2248.5</v>
      </c>
      <c r="H34" s="337">
        <f t="shared" si="36"/>
        <v>2248.5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14202.209045964712</v>
      </c>
      <c r="E35" s="354">
        <f>IF(+I14&lt;F34,I14,D35)</f>
        <v>581.5</v>
      </c>
      <c r="F35" s="55">
        <f t="shared" si="34"/>
        <v>13620.709045964712</v>
      </c>
      <c r="G35" s="355">
        <f t="shared" si="35"/>
        <v>2180.5</v>
      </c>
      <c r="H35" s="337">
        <f t="shared" si="36"/>
        <v>2180.5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13620.709045964712</v>
      </c>
      <c r="E36" s="354">
        <f>IF(+I14&lt;F35,I14,D36)</f>
        <v>581.5</v>
      </c>
      <c r="F36" s="55">
        <f t="shared" si="34"/>
        <v>13039.209045964712</v>
      </c>
      <c r="G36" s="355">
        <f t="shared" si="35"/>
        <v>2112.5</v>
      </c>
      <c r="H36" s="337">
        <f t="shared" si="36"/>
        <v>2112.5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13039.209045964712</v>
      </c>
      <c r="E37" s="354">
        <f>IF(+I14&lt;F36,I14,D37)</f>
        <v>581.5</v>
      </c>
      <c r="F37" s="55">
        <f t="shared" si="34"/>
        <v>12457.709045964712</v>
      </c>
      <c r="G37" s="355">
        <f t="shared" si="35"/>
        <v>2044.5</v>
      </c>
      <c r="H37" s="337">
        <f t="shared" si="36"/>
        <v>2044.5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12457.709045964712</v>
      </c>
      <c r="E38" s="354">
        <f>IF(+I14&lt;F37,I14,D38)</f>
        <v>581.5</v>
      </c>
      <c r="F38" s="55">
        <f t="shared" si="34"/>
        <v>11876.209045964712</v>
      </c>
      <c r="G38" s="355">
        <f t="shared" si="35"/>
        <v>1975.5</v>
      </c>
      <c r="H38" s="337">
        <f t="shared" si="36"/>
        <v>1975.5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11876.209045964712</v>
      </c>
      <c r="E39" s="354">
        <f>IF(+I14&lt;F38,I14,D39)</f>
        <v>581.5</v>
      </c>
      <c r="F39" s="55">
        <f t="shared" si="34"/>
        <v>11294.709045964712</v>
      </c>
      <c r="G39" s="355">
        <f t="shared" si="35"/>
        <v>1907.5</v>
      </c>
      <c r="H39" s="337">
        <f t="shared" si="36"/>
        <v>1907.5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11294.709045964712</v>
      </c>
      <c r="E40" s="354">
        <f>IF(+I14&lt;F39,I14,D40)</f>
        <v>581.5</v>
      </c>
      <c r="F40" s="55">
        <f t="shared" si="34"/>
        <v>10713.209045964712</v>
      </c>
      <c r="G40" s="355">
        <f t="shared" si="35"/>
        <v>1839.5</v>
      </c>
      <c r="H40" s="337">
        <f t="shared" si="36"/>
        <v>1839.5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10713.209045964712</v>
      </c>
      <c r="E41" s="354">
        <f>IF(+I14&lt;F40,I14,D41)</f>
        <v>581.5</v>
      </c>
      <c r="F41" s="55">
        <f t="shared" si="34"/>
        <v>10131.709045964712</v>
      </c>
      <c r="G41" s="355">
        <f t="shared" si="35"/>
        <v>1770.5</v>
      </c>
      <c r="H41" s="337">
        <f t="shared" si="36"/>
        <v>1770.5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10131.709045964712</v>
      </c>
      <c r="E42" s="354">
        <f>IF(+I14&lt;F41,I14,D42)</f>
        <v>581.5</v>
      </c>
      <c r="F42" s="55">
        <f t="shared" si="34"/>
        <v>9550.2090459647115</v>
      </c>
      <c r="G42" s="355">
        <f t="shared" si="35"/>
        <v>1702.5</v>
      </c>
      <c r="H42" s="337">
        <f t="shared" si="36"/>
        <v>1702.5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9550.2090459647115</v>
      </c>
      <c r="E43" s="354">
        <f>IF(+I14&lt;F42,I14,D43)</f>
        <v>581.5</v>
      </c>
      <c r="F43" s="55">
        <f t="shared" si="34"/>
        <v>8968.7090459647115</v>
      </c>
      <c r="G43" s="355">
        <f t="shared" si="35"/>
        <v>1634.5</v>
      </c>
      <c r="H43" s="337">
        <f t="shared" si="36"/>
        <v>1634.5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8968.7090459647115</v>
      </c>
      <c r="E44" s="354">
        <f>IF(+I14&lt;F43,I14,D44)</f>
        <v>581.5</v>
      </c>
      <c r="F44" s="55">
        <f t="shared" si="34"/>
        <v>8387.2090459647115</v>
      </c>
      <c r="G44" s="355">
        <f t="shared" si="35"/>
        <v>1566.5</v>
      </c>
      <c r="H44" s="337">
        <f t="shared" si="36"/>
        <v>1566.5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8387.2090459647115</v>
      </c>
      <c r="E45" s="354">
        <f>IF(+I14&lt;F44,I14,D45)</f>
        <v>581.5</v>
      </c>
      <c r="F45" s="55">
        <f t="shared" si="34"/>
        <v>7805.7090459647115</v>
      </c>
      <c r="G45" s="355">
        <f t="shared" si="35"/>
        <v>1497.5</v>
      </c>
      <c r="H45" s="337">
        <f t="shared" si="36"/>
        <v>1497.5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7805.7090459647115</v>
      </c>
      <c r="E46" s="354">
        <f>IF(+I14&lt;F45,I14,D46)</f>
        <v>581.5</v>
      </c>
      <c r="F46" s="55">
        <f t="shared" si="34"/>
        <v>7224.2090459647115</v>
      </c>
      <c r="G46" s="355">
        <f t="shared" si="35"/>
        <v>1429.5</v>
      </c>
      <c r="H46" s="337">
        <f t="shared" si="36"/>
        <v>1429.5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7224.2090459647115</v>
      </c>
      <c r="E47" s="354">
        <f>IF(+I14&lt;F46,I14,D47)</f>
        <v>581.5</v>
      </c>
      <c r="F47" s="55">
        <f t="shared" si="34"/>
        <v>6642.7090459647115</v>
      </c>
      <c r="G47" s="355">
        <f t="shared" si="35"/>
        <v>1361.5</v>
      </c>
      <c r="H47" s="337">
        <f t="shared" si="36"/>
        <v>1361.5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6642.7090459647115</v>
      </c>
      <c r="E48" s="354">
        <f>IF(+I14&lt;F47,I14,D48)</f>
        <v>581.5</v>
      </c>
      <c r="F48" s="55">
        <f t="shared" si="34"/>
        <v>6061.2090459647115</v>
      </c>
      <c r="G48" s="355">
        <f t="shared" si="35"/>
        <v>1293.5</v>
      </c>
      <c r="H48" s="337">
        <f t="shared" si="36"/>
        <v>1293.5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6061.2090459647115</v>
      </c>
      <c r="E49" s="354">
        <f>IF(+I14&lt;F48,I14,D49)</f>
        <v>581.5</v>
      </c>
      <c r="F49" s="55">
        <f t="shared" ref="F49:F72" si="37">+D49-E49</f>
        <v>5479.7090459647115</v>
      </c>
      <c r="G49" s="355">
        <f t="shared" si="35"/>
        <v>1224.5</v>
      </c>
      <c r="H49" s="337">
        <f t="shared" si="36"/>
        <v>1224.5</v>
      </c>
      <c r="I49" s="52">
        <f t="shared" ref="I49:I72" si="38">H49-G49</f>
        <v>0</v>
      </c>
      <c r="J49" s="52"/>
      <c r="K49" s="115"/>
      <c r="L49" s="54">
        <f t="shared" ref="L49:L72" si="39">IF(K49&lt;&gt;0,+G49-K49,0)</f>
        <v>0</v>
      </c>
      <c r="M49" s="115"/>
      <c r="N49" s="54">
        <f t="shared" ref="N49:N72" si="40">IF(M49&lt;&gt;0,+H49-M49,0)</f>
        <v>0</v>
      </c>
      <c r="O49" s="54">
        <f t="shared" ref="O49:O72" si="41">+N49-L49</f>
        <v>0</v>
      </c>
      <c r="P49" s="1"/>
    </row>
    <row r="50" spans="2:22" ht="12.5">
      <c r="B50" s="7" t="str">
        <f t="shared" ref="B50:B72" si="42">IF(D50=F49,"","IU")</f>
        <v/>
      </c>
      <c r="C50" s="50">
        <f>IF(D11="","-",+C49+1)</f>
        <v>2043</v>
      </c>
      <c r="D50" s="55">
        <f>IF(F49+SUM(E$17:E49)=D$10,F49,D$10-SUM(E$17:E49))</f>
        <v>5479.7090459647115</v>
      </c>
      <c r="E50" s="354">
        <f>IF(+I14&lt;F49,I14,D50)</f>
        <v>581.5</v>
      </c>
      <c r="F50" s="55">
        <f t="shared" si="37"/>
        <v>4898.2090459647115</v>
      </c>
      <c r="G50" s="355">
        <f t="shared" ref="G50:G72" si="43">ROUND(I$12*F50,0)+E50</f>
        <v>1156.5</v>
      </c>
      <c r="H50" s="337">
        <f t="shared" ref="H50:H72" si="44">ROUND(I$13*F50,0)+E50</f>
        <v>1156.5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22" ht="12.5">
      <c r="B51" s="7" t="str">
        <f t="shared" si="42"/>
        <v/>
      </c>
      <c r="C51" s="50">
        <f>IF(D11="","-",+C50+1)</f>
        <v>2044</v>
      </c>
      <c r="D51" s="55">
        <f>IF(F50+SUM(E$17:E50)=D$10,F50,D$10-SUM(E$17:E50))</f>
        <v>4898.2090459647115</v>
      </c>
      <c r="E51" s="354">
        <f>IF(+I14&lt;F50,I14,D51)</f>
        <v>581.5</v>
      </c>
      <c r="F51" s="55">
        <f t="shared" si="37"/>
        <v>4316.7090459647115</v>
      </c>
      <c r="G51" s="355">
        <f t="shared" si="43"/>
        <v>1088.5</v>
      </c>
      <c r="H51" s="337">
        <f t="shared" si="44"/>
        <v>1088.5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  <c r="V51" t="s">
        <v>455</v>
      </c>
    </row>
    <row r="52" spans="2:22" ht="12.5">
      <c r="B52" s="7" t="str">
        <f t="shared" si="42"/>
        <v/>
      </c>
      <c r="C52" s="50">
        <f>IF(D11="","-",+C51+1)</f>
        <v>2045</v>
      </c>
      <c r="D52" s="55">
        <f>IF(F51+SUM(E$17:E51)=D$10,F51,D$10-SUM(E$17:E51))</f>
        <v>4316.7090459647115</v>
      </c>
      <c r="E52" s="354">
        <f>IF(+I14&lt;F51,I14,D52)</f>
        <v>581.5</v>
      </c>
      <c r="F52" s="55">
        <f t="shared" si="37"/>
        <v>3735.2090459647115</v>
      </c>
      <c r="G52" s="355">
        <f t="shared" si="43"/>
        <v>1020.5</v>
      </c>
      <c r="H52" s="337">
        <f t="shared" si="44"/>
        <v>1020.5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22" ht="12.5">
      <c r="B53" s="7" t="str">
        <f t="shared" si="42"/>
        <v/>
      </c>
      <c r="C53" s="50">
        <f>IF(D11="","-",+C52+1)</f>
        <v>2046</v>
      </c>
      <c r="D53" s="55">
        <f>IF(F52+SUM(E$17:E52)=D$10,F52,D$10-SUM(E$17:E52))</f>
        <v>3735.2090459647115</v>
      </c>
      <c r="E53" s="354">
        <f>IF(+I14&lt;F52,I14,D53)</f>
        <v>581.5</v>
      </c>
      <c r="F53" s="55">
        <f t="shared" si="37"/>
        <v>3153.7090459647115</v>
      </c>
      <c r="G53" s="355">
        <f t="shared" si="43"/>
        <v>951.5</v>
      </c>
      <c r="H53" s="337">
        <f t="shared" si="44"/>
        <v>951.5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22" ht="12.5">
      <c r="B54" s="7" t="str">
        <f t="shared" si="42"/>
        <v/>
      </c>
      <c r="C54" s="50">
        <f>IF(D11="","-",+C53+1)</f>
        <v>2047</v>
      </c>
      <c r="D54" s="55">
        <f>IF(F53+SUM(E$17:E53)=D$10,F53,D$10-SUM(E$17:E53))</f>
        <v>3153.7090459647115</v>
      </c>
      <c r="E54" s="354">
        <f>IF(+I14&lt;F53,I14,D54)</f>
        <v>581.5</v>
      </c>
      <c r="F54" s="55">
        <f t="shared" si="37"/>
        <v>2572.2090459647115</v>
      </c>
      <c r="G54" s="355">
        <f t="shared" si="43"/>
        <v>883.5</v>
      </c>
      <c r="H54" s="337">
        <f t="shared" si="44"/>
        <v>883.5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22" ht="12.5">
      <c r="B55" s="7" t="str">
        <f t="shared" si="42"/>
        <v/>
      </c>
      <c r="C55" s="50">
        <f>IF(D11="","-",+C54+1)</f>
        <v>2048</v>
      </c>
      <c r="D55" s="55">
        <f>IF(F54+SUM(E$17:E54)=D$10,F54,D$10-SUM(E$17:E54))</f>
        <v>2572.2090459647115</v>
      </c>
      <c r="E55" s="354">
        <f>IF(+I14&lt;F54,I14,D55)</f>
        <v>581.5</v>
      </c>
      <c r="F55" s="55">
        <f t="shared" si="37"/>
        <v>1990.7090459647115</v>
      </c>
      <c r="G55" s="355">
        <f t="shared" si="43"/>
        <v>815.5</v>
      </c>
      <c r="H55" s="337">
        <f t="shared" si="44"/>
        <v>815.5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22" ht="12.5">
      <c r="B56" s="7" t="str">
        <f t="shared" si="42"/>
        <v/>
      </c>
      <c r="C56" s="50">
        <f>IF(D11="","-",+C55+1)</f>
        <v>2049</v>
      </c>
      <c r="D56" s="55">
        <f>IF(F55+SUM(E$17:E55)=D$10,F55,D$10-SUM(E$17:E55))</f>
        <v>1990.7090459647115</v>
      </c>
      <c r="E56" s="354">
        <f>IF(+I14&lt;F55,I14,D56)</f>
        <v>581.5</v>
      </c>
      <c r="F56" s="55">
        <f t="shared" si="37"/>
        <v>1409.2090459647115</v>
      </c>
      <c r="G56" s="355">
        <f t="shared" si="43"/>
        <v>746.5</v>
      </c>
      <c r="H56" s="337">
        <f t="shared" si="44"/>
        <v>746.5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22" ht="12.5">
      <c r="B57" s="7" t="str">
        <f t="shared" si="42"/>
        <v/>
      </c>
      <c r="C57" s="50">
        <f>IF(D11="","-",+C56+1)</f>
        <v>2050</v>
      </c>
      <c r="D57" s="55">
        <f>IF(F56+SUM(E$17:E56)=D$10,F56,D$10-SUM(E$17:E56))</f>
        <v>1409.2090459647115</v>
      </c>
      <c r="E57" s="354">
        <f>IF(+I14&lt;F56,I14,D57)</f>
        <v>581.5</v>
      </c>
      <c r="F57" s="55">
        <f t="shared" si="37"/>
        <v>827.70904596471155</v>
      </c>
      <c r="G57" s="355">
        <f t="shared" si="43"/>
        <v>678.5</v>
      </c>
      <c r="H57" s="337">
        <f t="shared" si="44"/>
        <v>678.5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22" ht="12.5">
      <c r="B58" s="7" t="str">
        <f t="shared" si="42"/>
        <v/>
      </c>
      <c r="C58" s="50">
        <f>IF(D11="","-",+C57+1)</f>
        <v>2051</v>
      </c>
      <c r="D58" s="55">
        <f>IF(F57+SUM(E$17:E57)=D$10,F57,D$10-SUM(E$17:E57))</f>
        <v>827.70904596471155</v>
      </c>
      <c r="E58" s="354">
        <f>IF(+I14&lt;F57,I14,D58)</f>
        <v>581.5</v>
      </c>
      <c r="F58" s="55">
        <f t="shared" si="37"/>
        <v>246.20904596471155</v>
      </c>
      <c r="G58" s="355">
        <f t="shared" si="43"/>
        <v>610.5</v>
      </c>
      <c r="H58" s="337">
        <f t="shared" si="44"/>
        <v>610.5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22" ht="12.5">
      <c r="B59" s="7" t="str">
        <f t="shared" si="42"/>
        <v/>
      </c>
      <c r="C59" s="50">
        <f>IF(D11="","-",+C58+1)</f>
        <v>2052</v>
      </c>
      <c r="D59" s="55">
        <f>IF(F58+SUM(E$17:E58)=D$10,F58,D$10-SUM(E$17:E58))</f>
        <v>246.20904596471155</v>
      </c>
      <c r="E59" s="354">
        <f>IF(+I14&lt;F58,I14,D59)</f>
        <v>246.20904596471155</v>
      </c>
      <c r="F59" s="55">
        <f t="shared" si="37"/>
        <v>0</v>
      </c>
      <c r="G59" s="355">
        <f t="shared" si="43"/>
        <v>246.20904596471155</v>
      </c>
      <c r="H59" s="337">
        <f t="shared" si="44"/>
        <v>246.20904596471155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22" ht="12.5">
      <c r="B60" s="7" t="str">
        <f t="shared" si="42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7"/>
        <v>0</v>
      </c>
      <c r="G60" s="355">
        <f t="shared" si="43"/>
        <v>0</v>
      </c>
      <c r="H60" s="337">
        <f t="shared" si="44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22" ht="12.5">
      <c r="B61" s="7" t="str">
        <f t="shared" si="42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7"/>
        <v>0</v>
      </c>
      <c r="G61" s="356">
        <f t="shared" si="43"/>
        <v>0</v>
      </c>
      <c r="H61" s="337">
        <f t="shared" si="44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22" ht="12.5">
      <c r="B62" s="7" t="str">
        <f t="shared" si="42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7"/>
        <v>0</v>
      </c>
      <c r="G62" s="356">
        <f t="shared" si="43"/>
        <v>0</v>
      </c>
      <c r="H62" s="337">
        <f t="shared" si="44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22" ht="12.5">
      <c r="B63" s="7" t="str">
        <f t="shared" si="42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7"/>
        <v>0</v>
      </c>
      <c r="G63" s="356">
        <f t="shared" si="43"/>
        <v>0</v>
      </c>
      <c r="H63" s="337">
        <f t="shared" si="44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22" ht="12.5">
      <c r="B64" s="7" t="str">
        <f t="shared" si="42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7"/>
        <v>0</v>
      </c>
      <c r="G64" s="356">
        <f t="shared" si="43"/>
        <v>0</v>
      </c>
      <c r="H64" s="337">
        <f t="shared" si="44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 ht="12.5">
      <c r="B65" s="7" t="str">
        <f t="shared" si="42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7"/>
        <v>0</v>
      </c>
      <c r="G65" s="356">
        <f t="shared" si="43"/>
        <v>0</v>
      </c>
      <c r="H65" s="337">
        <f t="shared" si="44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 ht="12.5">
      <c r="B66" s="7" t="str">
        <f t="shared" si="42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7"/>
        <v>0</v>
      </c>
      <c r="G66" s="356">
        <f t="shared" si="43"/>
        <v>0</v>
      </c>
      <c r="H66" s="337">
        <f t="shared" si="44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 ht="12.5">
      <c r="B67" s="7" t="str">
        <f t="shared" si="42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7"/>
        <v>0</v>
      </c>
      <c r="G67" s="356">
        <f t="shared" si="43"/>
        <v>0</v>
      </c>
      <c r="H67" s="337">
        <f t="shared" si="44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 ht="12.5">
      <c r="B68" s="7" t="str">
        <f t="shared" si="42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7"/>
        <v>0</v>
      </c>
      <c r="G68" s="356">
        <f t="shared" si="43"/>
        <v>0</v>
      </c>
      <c r="H68" s="337">
        <f t="shared" si="44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 ht="12.5">
      <c r="B69" s="7" t="str">
        <f t="shared" si="42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7"/>
        <v>0</v>
      </c>
      <c r="G69" s="356">
        <f t="shared" si="43"/>
        <v>0</v>
      </c>
      <c r="H69" s="337">
        <f t="shared" si="44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 ht="12.5">
      <c r="B70" s="7" t="str">
        <f t="shared" si="42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7"/>
        <v>0</v>
      </c>
      <c r="G70" s="356">
        <f t="shared" si="43"/>
        <v>0</v>
      </c>
      <c r="H70" s="337">
        <f t="shared" si="44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 ht="12.5">
      <c r="B71" s="7" t="str">
        <f t="shared" si="42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7"/>
        <v>0</v>
      </c>
      <c r="G71" s="356">
        <f t="shared" si="43"/>
        <v>0</v>
      </c>
      <c r="H71" s="337">
        <f t="shared" si="44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" thickBot="1">
      <c r="B72" s="7" t="str">
        <f t="shared" si="42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7"/>
        <v>0</v>
      </c>
      <c r="G72" s="358">
        <f t="shared" si="43"/>
        <v>0</v>
      </c>
      <c r="H72" s="335">
        <f t="shared" si="44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 ht="12.5">
      <c r="C73" s="12" t="s">
        <v>77</v>
      </c>
      <c r="D73" s="267"/>
      <c r="E73" s="267">
        <f>SUM(E17:E72)</f>
        <v>22097.000000000004</v>
      </c>
      <c r="F73" s="267"/>
      <c r="G73" s="267">
        <f>SUM(G17:G72)</f>
        <v>77753.989946362111</v>
      </c>
      <c r="H73" s="267">
        <f>SUM(H17:H72)</f>
        <v>77753.989946362111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13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2395.5</v>
      </c>
      <c r="N87" s="364">
        <f>IF(J92&lt;D11,0,VLOOKUP(J92,C17:O72,11))</f>
        <v>2395.5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2741.2404187045827</v>
      </c>
      <c r="N88" s="367">
        <f>IF(J92&lt;D11,0,VLOOKUP(J92,C99:P154,7))</f>
        <v>2741.2404187045827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CoffeyvilleT to Dearing 138 kv Rebuild - 1.1 mi*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345.74041870458268</v>
      </c>
      <c r="N89" s="369">
        <f>+N88-N87</f>
        <v>345.74041870458268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TP2008013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22097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597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417">
        <f>D93</f>
        <v>2010</v>
      </c>
      <c r="D99" s="418">
        <v>0</v>
      </c>
      <c r="E99" s="419">
        <v>0</v>
      </c>
      <c r="F99" s="419">
        <v>0</v>
      </c>
      <c r="G99" s="419">
        <v>0</v>
      </c>
      <c r="H99" s="420">
        <v>0</v>
      </c>
      <c r="I99" s="419">
        <v>0</v>
      </c>
      <c r="J99" s="421">
        <v>0</v>
      </c>
      <c r="K99" s="54"/>
      <c r="L99" s="394">
        <f t="shared" ref="L99:L104" si="45">H99</f>
        <v>0</v>
      </c>
      <c r="M99" s="395">
        <f t="shared" ref="M99:M104" si="46">IF(L99&lt;&gt;0,+H99-L99,0)</f>
        <v>0</v>
      </c>
      <c r="N99" s="394">
        <f t="shared" ref="N99:N104" si="47">I99</f>
        <v>0</v>
      </c>
      <c r="O99" s="53">
        <f t="shared" ref="O99:O104" si="48">IF(N99&lt;&gt;0,+I99-N99,0)</f>
        <v>0</v>
      </c>
      <c r="P99" s="53">
        <f t="shared" ref="P99:P104" si="49">+O99-M99</f>
        <v>0</v>
      </c>
    </row>
    <row r="100" spans="1:16" ht="12.5">
      <c r="C100" s="50">
        <f>IF(D91="","-",+C99+1)</f>
        <v>2011</v>
      </c>
      <c r="D100" s="422">
        <v>0</v>
      </c>
      <c r="E100" s="423">
        <v>0</v>
      </c>
      <c r="F100" s="423">
        <v>0</v>
      </c>
      <c r="G100" s="423">
        <v>0</v>
      </c>
      <c r="H100" s="424">
        <v>0</v>
      </c>
      <c r="I100" s="423">
        <v>0</v>
      </c>
      <c r="J100" s="425">
        <v>0</v>
      </c>
      <c r="K100" s="54"/>
      <c r="L100" s="379">
        <f t="shared" si="45"/>
        <v>0</v>
      </c>
      <c r="M100" s="380">
        <f t="shared" si="46"/>
        <v>0</v>
      </c>
      <c r="N100" s="379">
        <f t="shared" si="47"/>
        <v>0</v>
      </c>
      <c r="O100" s="54">
        <f t="shared" si="48"/>
        <v>0</v>
      </c>
      <c r="P100" s="54">
        <f t="shared" si="49"/>
        <v>0</v>
      </c>
    </row>
    <row r="101" spans="1:16" ht="12.5">
      <c r="C101" s="50">
        <f>IF(D92="","-",+C100+1)</f>
        <v>2012</v>
      </c>
      <c r="D101" s="405">
        <v>22097</v>
      </c>
      <c r="E101" s="406">
        <v>212.5</v>
      </c>
      <c r="F101" s="407">
        <v>21884.5</v>
      </c>
      <c r="G101" s="407">
        <v>21990.75</v>
      </c>
      <c r="H101" s="409">
        <v>3375.9899363381005</v>
      </c>
      <c r="I101" s="410">
        <v>3375.9899363381005</v>
      </c>
      <c r="J101" s="54">
        <v>0</v>
      </c>
      <c r="K101" s="54"/>
      <c r="L101" s="379">
        <f t="shared" si="45"/>
        <v>3375.9899363381005</v>
      </c>
      <c r="M101" s="380">
        <f t="shared" si="46"/>
        <v>0</v>
      </c>
      <c r="N101" s="379">
        <f t="shared" si="47"/>
        <v>3375.9899363381005</v>
      </c>
      <c r="O101" s="54">
        <f t="shared" si="48"/>
        <v>0</v>
      </c>
      <c r="P101" s="54">
        <f t="shared" si="49"/>
        <v>0</v>
      </c>
    </row>
    <row r="102" spans="1:16" ht="12.5">
      <c r="B102" s="7" t="str">
        <f t="shared" ref="B102:B133" si="50">IF(D102=F101,"","IU")</f>
        <v/>
      </c>
      <c r="C102" s="50">
        <f>IF(D93="","-",+C101+1)</f>
        <v>2013</v>
      </c>
      <c r="D102" s="405">
        <v>21884.5</v>
      </c>
      <c r="E102" s="406">
        <v>425</v>
      </c>
      <c r="F102" s="407">
        <v>21459.5</v>
      </c>
      <c r="G102" s="407">
        <v>21672</v>
      </c>
      <c r="H102" s="409">
        <v>3544.458879858515</v>
      </c>
      <c r="I102" s="410">
        <v>3544.458879858515</v>
      </c>
      <c r="J102" s="54">
        <v>0</v>
      </c>
      <c r="K102" s="54"/>
      <c r="L102" s="379">
        <f t="shared" si="45"/>
        <v>3544.458879858515</v>
      </c>
      <c r="M102" s="380">
        <f t="shared" si="46"/>
        <v>0</v>
      </c>
      <c r="N102" s="379">
        <f t="shared" si="47"/>
        <v>3544.458879858515</v>
      </c>
      <c r="O102" s="54">
        <f t="shared" si="48"/>
        <v>0</v>
      </c>
      <c r="P102" s="54">
        <f t="shared" si="49"/>
        <v>0</v>
      </c>
    </row>
    <row r="103" spans="1:16" ht="12.5">
      <c r="B103" s="7" t="str">
        <f t="shared" si="50"/>
        <v/>
      </c>
      <c r="C103" s="50">
        <f>IF(D93="","-",+C102+1)</f>
        <v>2014</v>
      </c>
      <c r="D103" s="405">
        <v>21459.5</v>
      </c>
      <c r="E103" s="406">
        <v>425</v>
      </c>
      <c r="F103" s="407">
        <v>21034.5</v>
      </c>
      <c r="G103" s="407">
        <v>21247</v>
      </c>
      <c r="H103" s="409">
        <v>3412.2413474199548</v>
      </c>
      <c r="I103" s="410">
        <v>3412.2413474199548</v>
      </c>
      <c r="J103" s="54">
        <v>0</v>
      </c>
      <c r="K103" s="54"/>
      <c r="L103" s="379">
        <f t="shared" si="45"/>
        <v>3412.2413474199548</v>
      </c>
      <c r="M103" s="380">
        <f t="shared" si="46"/>
        <v>0</v>
      </c>
      <c r="N103" s="379">
        <f t="shared" si="47"/>
        <v>3412.2413474199548</v>
      </c>
      <c r="O103" s="54">
        <f t="shared" si="48"/>
        <v>0</v>
      </c>
      <c r="P103" s="54">
        <f t="shared" si="49"/>
        <v>0</v>
      </c>
    </row>
    <row r="104" spans="1:16" ht="12.5">
      <c r="B104" s="7" t="str">
        <f t="shared" si="50"/>
        <v/>
      </c>
      <c r="C104" s="50">
        <f>IF(D93="","-",+C103+1)</f>
        <v>2015</v>
      </c>
      <c r="D104" s="405">
        <v>21034.5</v>
      </c>
      <c r="E104" s="406">
        <v>425</v>
      </c>
      <c r="F104" s="407">
        <v>20609.5</v>
      </c>
      <c r="G104" s="407">
        <v>20822</v>
      </c>
      <c r="H104" s="409">
        <v>3265.9944828697971</v>
      </c>
      <c r="I104" s="410">
        <v>3265.9944828697971</v>
      </c>
      <c r="J104" s="54">
        <f t="shared" ref="J104:J132" si="51">+I104-H104</f>
        <v>0</v>
      </c>
      <c r="K104" s="54"/>
      <c r="L104" s="379">
        <f t="shared" si="45"/>
        <v>3265.9944828697971</v>
      </c>
      <c r="M104" s="380">
        <f t="shared" si="46"/>
        <v>0</v>
      </c>
      <c r="N104" s="379">
        <f t="shared" si="47"/>
        <v>3265.9944828697971</v>
      </c>
      <c r="O104" s="54">
        <f t="shared" si="48"/>
        <v>0</v>
      </c>
      <c r="P104" s="54">
        <f t="shared" si="49"/>
        <v>0</v>
      </c>
    </row>
    <row r="105" spans="1:16" ht="12.5">
      <c r="B105" s="7" t="str">
        <f t="shared" si="50"/>
        <v/>
      </c>
      <c r="C105" s="50">
        <f>IF(D93="","-",+C104+1)</f>
        <v>2016</v>
      </c>
      <c r="D105" s="405">
        <v>20609.5</v>
      </c>
      <c r="E105" s="406">
        <v>480</v>
      </c>
      <c r="F105" s="407">
        <v>20129.5</v>
      </c>
      <c r="G105" s="407">
        <v>20369.5</v>
      </c>
      <c r="H105" s="409">
        <v>3105.9493466960757</v>
      </c>
      <c r="I105" s="410">
        <v>3105.9493466960757</v>
      </c>
      <c r="J105" s="54">
        <f t="shared" si="51"/>
        <v>0</v>
      </c>
      <c r="K105" s="54"/>
      <c r="L105" s="379">
        <f t="shared" ref="L105:L110" si="52">H105</f>
        <v>3105.9493466960757</v>
      </c>
      <c r="M105" s="380">
        <f t="shared" ref="M105:M110" si="53">IF(L105&lt;&gt;0,+H105-L105,0)</f>
        <v>0</v>
      </c>
      <c r="N105" s="379">
        <f t="shared" ref="N105:N110" si="54">I105</f>
        <v>3105.9493466960757</v>
      </c>
      <c r="O105" s="54">
        <f t="shared" ref="O105:O110" si="55">IF(N105&lt;&gt;0,+I105-N105,0)</f>
        <v>0</v>
      </c>
      <c r="P105" s="54">
        <f>+O105-M105</f>
        <v>0</v>
      </c>
    </row>
    <row r="106" spans="1:16" ht="12.5">
      <c r="B106" s="7" t="str">
        <f t="shared" si="50"/>
        <v/>
      </c>
      <c r="C106" s="50">
        <f>IF(D93="","-",+C105+1)</f>
        <v>2017</v>
      </c>
      <c r="D106" s="405">
        <v>20129.5</v>
      </c>
      <c r="E106" s="406">
        <v>480</v>
      </c>
      <c r="F106" s="407">
        <v>19649.5</v>
      </c>
      <c r="G106" s="407">
        <v>19889.5</v>
      </c>
      <c r="H106" s="409">
        <v>3003.0332263920673</v>
      </c>
      <c r="I106" s="410">
        <v>3003.0332263920673</v>
      </c>
      <c r="J106" s="54">
        <f t="shared" si="51"/>
        <v>0</v>
      </c>
      <c r="K106" s="54"/>
      <c r="L106" s="379">
        <f t="shared" si="52"/>
        <v>3003.0332263920673</v>
      </c>
      <c r="M106" s="380">
        <f t="shared" si="53"/>
        <v>0</v>
      </c>
      <c r="N106" s="379">
        <f t="shared" si="54"/>
        <v>3003.0332263920673</v>
      </c>
      <c r="O106" s="54">
        <f t="shared" si="55"/>
        <v>0</v>
      </c>
      <c r="P106" s="54">
        <f>+O106-M106</f>
        <v>0</v>
      </c>
    </row>
    <row r="107" spans="1:16" ht="12.5">
      <c r="B107" s="7" t="str">
        <f t="shared" si="50"/>
        <v/>
      </c>
      <c r="C107" s="50">
        <f>IF(D93="","-",+C106+1)</f>
        <v>2018</v>
      </c>
      <c r="D107" s="405">
        <v>19649.5</v>
      </c>
      <c r="E107" s="406">
        <v>514</v>
      </c>
      <c r="F107" s="407">
        <v>19135.5</v>
      </c>
      <c r="G107" s="407">
        <v>19392.5</v>
      </c>
      <c r="H107" s="409">
        <v>2506.299479691007</v>
      </c>
      <c r="I107" s="410">
        <v>2506.299479691007</v>
      </c>
      <c r="J107" s="54">
        <f t="shared" si="51"/>
        <v>0</v>
      </c>
      <c r="K107" s="54"/>
      <c r="L107" s="379">
        <f t="shared" si="52"/>
        <v>2506.299479691007</v>
      </c>
      <c r="M107" s="380">
        <f t="shared" si="53"/>
        <v>0</v>
      </c>
      <c r="N107" s="379">
        <f t="shared" si="54"/>
        <v>2506.299479691007</v>
      </c>
      <c r="O107" s="54">
        <f t="shared" si="55"/>
        <v>0</v>
      </c>
      <c r="P107" s="54">
        <f>+O107-M107</f>
        <v>0</v>
      </c>
    </row>
    <row r="108" spans="1:16" ht="12.5">
      <c r="B108" s="7" t="str">
        <f t="shared" si="50"/>
        <v/>
      </c>
      <c r="C108" s="50">
        <f>IF(D93="","-",+C107+1)</f>
        <v>2019</v>
      </c>
      <c r="D108" s="405">
        <v>19135.5</v>
      </c>
      <c r="E108" s="406">
        <v>539</v>
      </c>
      <c r="F108" s="407">
        <v>18596.5</v>
      </c>
      <c r="G108" s="407">
        <v>18866</v>
      </c>
      <c r="H108" s="409">
        <v>2484.3492160371716</v>
      </c>
      <c r="I108" s="410">
        <v>2484.3492160371716</v>
      </c>
      <c r="J108" s="54">
        <f t="shared" si="51"/>
        <v>0</v>
      </c>
      <c r="K108" s="54"/>
      <c r="L108" s="379">
        <f t="shared" si="52"/>
        <v>2484.3492160371716</v>
      </c>
      <c r="M108" s="380">
        <f t="shared" si="53"/>
        <v>0</v>
      </c>
      <c r="N108" s="379">
        <f t="shared" si="54"/>
        <v>2484.3492160371716</v>
      </c>
      <c r="O108" s="54">
        <f t="shared" si="55"/>
        <v>0</v>
      </c>
      <c r="P108" s="54">
        <f t="shared" ref="P108:P109" si="56">+O108-M108</f>
        <v>0</v>
      </c>
    </row>
    <row r="109" spans="1:16" ht="12.5">
      <c r="B109" s="7" t="str">
        <f t="shared" si="50"/>
        <v/>
      </c>
      <c r="C109" s="50">
        <f>IF(D93="","-",+C108+1)</f>
        <v>2020</v>
      </c>
      <c r="D109" s="405">
        <v>18596.5</v>
      </c>
      <c r="E109" s="406">
        <v>514</v>
      </c>
      <c r="F109" s="407">
        <v>18082.5</v>
      </c>
      <c r="G109" s="407">
        <v>18339.5</v>
      </c>
      <c r="H109" s="409">
        <v>2628.4939297021565</v>
      </c>
      <c r="I109" s="410">
        <v>2628.4939297021565</v>
      </c>
      <c r="J109" s="54">
        <f t="shared" si="51"/>
        <v>0</v>
      </c>
      <c r="K109" s="54"/>
      <c r="L109" s="379">
        <f t="shared" si="52"/>
        <v>2628.4939297021565</v>
      </c>
      <c r="M109" s="380">
        <f t="shared" si="53"/>
        <v>0</v>
      </c>
      <c r="N109" s="379">
        <f t="shared" si="54"/>
        <v>2628.4939297021565</v>
      </c>
      <c r="O109" s="54">
        <f t="shared" si="55"/>
        <v>0</v>
      </c>
      <c r="P109" s="54">
        <f t="shared" si="56"/>
        <v>0</v>
      </c>
    </row>
    <row r="110" spans="1:16" ht="12.5">
      <c r="B110" s="7" t="str">
        <f t="shared" si="50"/>
        <v/>
      </c>
      <c r="C110" s="50">
        <f>IF(D93="","-",+C109+1)</f>
        <v>2021</v>
      </c>
      <c r="D110" s="405">
        <v>18082.5</v>
      </c>
      <c r="E110" s="406">
        <v>567</v>
      </c>
      <c r="F110" s="407">
        <v>17515.5</v>
      </c>
      <c r="G110" s="407">
        <v>17799</v>
      </c>
      <c r="H110" s="409">
        <v>2528.1410385336903</v>
      </c>
      <c r="I110" s="410">
        <v>2528.1410385336903</v>
      </c>
      <c r="J110" s="54">
        <f t="shared" si="51"/>
        <v>0</v>
      </c>
      <c r="K110" s="54"/>
      <c r="L110" s="379">
        <f t="shared" si="52"/>
        <v>2528.1410385336903</v>
      </c>
      <c r="M110" s="380">
        <f t="shared" si="53"/>
        <v>0</v>
      </c>
      <c r="N110" s="379">
        <f t="shared" si="54"/>
        <v>2528.1410385336903</v>
      </c>
      <c r="O110" s="54">
        <f t="shared" si="55"/>
        <v>0</v>
      </c>
      <c r="P110" s="54">
        <f t="shared" ref="P110" si="57">+O110-M110</f>
        <v>0</v>
      </c>
    </row>
    <row r="111" spans="1:16" ht="12.5">
      <c r="B111" s="7" t="str">
        <f t="shared" si="50"/>
        <v/>
      </c>
      <c r="C111" s="450">
        <f>IF(D93="","-",+C110+1)</f>
        <v>2022</v>
      </c>
      <c r="D111" s="405">
        <v>17515.5</v>
      </c>
      <c r="E111" s="406">
        <v>567</v>
      </c>
      <c r="F111" s="407">
        <v>16948.5</v>
      </c>
      <c r="G111" s="407">
        <v>17232</v>
      </c>
      <c r="H111" s="409">
        <v>2465.6674743531971</v>
      </c>
      <c r="I111" s="410">
        <v>2465.6674743531971</v>
      </c>
      <c r="J111" s="54">
        <f t="shared" si="51"/>
        <v>0</v>
      </c>
      <c r="K111" s="54"/>
      <c r="L111" s="379">
        <f t="shared" ref="L111:L112" si="58">H111</f>
        <v>2465.6674743531971</v>
      </c>
      <c r="M111" s="380">
        <f t="shared" ref="M111:M112" si="59">IF(L111&lt;&gt;0,+H111-L111,0)</f>
        <v>0</v>
      </c>
      <c r="N111" s="379">
        <f t="shared" ref="N111:N112" si="60">I111</f>
        <v>2465.6674743531971</v>
      </c>
      <c r="O111" s="54">
        <f t="shared" ref="O111:O112" si="61">IF(N111&lt;&gt;0,+I111-N111,0)</f>
        <v>0</v>
      </c>
      <c r="P111" s="54">
        <f t="shared" ref="P111:P154" si="62">+O111-M111</f>
        <v>0</v>
      </c>
    </row>
    <row r="112" spans="1:16" ht="12.5">
      <c r="B112" s="7" t="str">
        <f t="shared" si="50"/>
        <v/>
      </c>
      <c r="C112" s="50">
        <f>IF(D93="","-",+C111+1)</f>
        <v>2023</v>
      </c>
      <c r="D112" s="405">
        <v>16948.5</v>
      </c>
      <c r="E112" s="406">
        <v>582</v>
      </c>
      <c r="F112" s="407">
        <v>16366.5</v>
      </c>
      <c r="G112" s="407">
        <v>16657.5</v>
      </c>
      <c r="H112" s="409">
        <v>2484.7371362712865</v>
      </c>
      <c r="I112" s="410">
        <v>2484.7371362712865</v>
      </c>
      <c r="J112" s="54">
        <f t="shared" si="51"/>
        <v>0</v>
      </c>
      <c r="K112" s="54"/>
      <c r="L112" s="379">
        <f t="shared" si="58"/>
        <v>2484.7371362712865</v>
      </c>
      <c r="M112" s="380">
        <f t="shared" si="59"/>
        <v>0</v>
      </c>
      <c r="N112" s="379">
        <f t="shared" si="60"/>
        <v>2484.7371362712865</v>
      </c>
      <c r="O112" s="54">
        <f t="shared" si="61"/>
        <v>0</v>
      </c>
      <c r="P112" s="54">
        <f t="shared" si="62"/>
        <v>0</v>
      </c>
    </row>
    <row r="113" spans="2:16" ht="12.5">
      <c r="B113" s="7" t="str">
        <f t="shared" si="50"/>
        <v/>
      </c>
      <c r="C113" s="50">
        <f>IF(D93="","-",+C112+1)</f>
        <v>2024</v>
      </c>
      <c r="D113" s="405">
        <v>16366.5</v>
      </c>
      <c r="E113" s="406">
        <v>582</v>
      </c>
      <c r="F113" s="407">
        <v>15784.5</v>
      </c>
      <c r="G113" s="407">
        <v>16075.5</v>
      </c>
      <c r="H113" s="409">
        <v>2741.2404187045827</v>
      </c>
      <c r="I113" s="410">
        <v>2741.2404187045827</v>
      </c>
      <c r="J113" s="54">
        <f t="shared" si="51"/>
        <v>0</v>
      </c>
      <c r="K113" s="54"/>
      <c r="L113" s="379">
        <f t="shared" ref="L113" si="63">H113</f>
        <v>2741.2404187045827</v>
      </c>
      <c r="M113" s="380">
        <f t="shared" ref="M113" si="64">IF(L113&lt;&gt;0,+H113-L113,0)</f>
        <v>0</v>
      </c>
      <c r="N113" s="379">
        <f t="shared" ref="N113" si="65">I113</f>
        <v>2741.2404187045827</v>
      </c>
      <c r="O113" s="54">
        <f t="shared" ref="O113" si="66">IF(N113&lt;&gt;0,+I113-N113,0)</f>
        <v>0</v>
      </c>
      <c r="P113" s="54">
        <f t="shared" ref="P113" si="67">+O113-M113</f>
        <v>0</v>
      </c>
    </row>
    <row r="114" spans="2:16" ht="12.5">
      <c r="B114" s="7" t="str">
        <f t="shared" si="50"/>
        <v/>
      </c>
      <c r="C114" s="50">
        <f>IF(D93="","-",+C113+1)</f>
        <v>2025</v>
      </c>
      <c r="D114" s="12">
        <f>IF(F113+SUM(E$101:E113)=D$92,F113,D$92-SUM(E$101:E113))</f>
        <v>15784.5</v>
      </c>
      <c r="E114" s="355">
        <f>IF(+J96&lt;F113,J96,D114)</f>
        <v>597</v>
      </c>
      <c r="F114" s="55">
        <f t="shared" ref="F114:F133" si="68">+D114-E114</f>
        <v>15187.5</v>
      </c>
      <c r="G114" s="55">
        <f t="shared" ref="G114:G132" si="69">+(F114+D114)/2</f>
        <v>15486</v>
      </c>
      <c r="H114" s="356">
        <f t="shared" ref="H114:H132" si="70">+J$94*G114+E114</f>
        <v>2677.0595393026138</v>
      </c>
      <c r="I114" s="381">
        <f t="shared" ref="I114:I132" si="71">+J$95*G114+E114</f>
        <v>2677.0595393026138</v>
      </c>
      <c r="J114" s="54">
        <f t="shared" si="51"/>
        <v>0</v>
      </c>
      <c r="K114" s="54"/>
      <c r="L114" s="115"/>
      <c r="M114" s="54">
        <f t="shared" ref="M114:M130" si="72">IF(L114&lt;&gt;0,+H116-L114,0)</f>
        <v>0</v>
      </c>
      <c r="N114" s="115"/>
      <c r="O114" s="54">
        <f t="shared" ref="O114:O154" si="73">IF(N114&lt;&gt;0,+I114-N114,0)</f>
        <v>0</v>
      </c>
      <c r="P114" s="54">
        <f t="shared" si="62"/>
        <v>0</v>
      </c>
    </row>
    <row r="115" spans="2:16" ht="12.5">
      <c r="B115" s="7" t="str">
        <f t="shared" si="50"/>
        <v/>
      </c>
      <c r="C115" s="50">
        <f>IF(D93="","-",+C114+1)</f>
        <v>2026</v>
      </c>
      <c r="D115" s="12">
        <f>IF(F114+SUM(E$101:E114)=D$92,F114,D$92-SUM(E$101:E114))</f>
        <v>15187.5</v>
      </c>
      <c r="E115" s="355">
        <f>IF(+J96&lt;F114,J96,D115)</f>
        <v>597</v>
      </c>
      <c r="F115" s="55">
        <f t="shared" si="68"/>
        <v>14590.5</v>
      </c>
      <c r="G115" s="55">
        <f t="shared" si="69"/>
        <v>14889</v>
      </c>
      <c r="H115" s="356">
        <f t="shared" si="70"/>
        <v>2596.8712695774648</v>
      </c>
      <c r="I115" s="381">
        <f t="shared" si="71"/>
        <v>2596.8712695774648</v>
      </c>
      <c r="J115" s="54">
        <f t="shared" si="51"/>
        <v>0</v>
      </c>
      <c r="K115" s="54"/>
      <c r="L115" s="115"/>
      <c r="M115" s="54">
        <f t="shared" si="72"/>
        <v>0</v>
      </c>
      <c r="N115" s="115"/>
      <c r="O115" s="54">
        <f t="shared" si="73"/>
        <v>0</v>
      </c>
      <c r="P115" s="54">
        <f t="shared" si="62"/>
        <v>0</v>
      </c>
    </row>
    <row r="116" spans="2:16" ht="12.5">
      <c r="B116" s="7" t="str">
        <f t="shared" si="50"/>
        <v/>
      </c>
      <c r="C116" s="50">
        <f>IF(D93="","-",+C115+1)</f>
        <v>2027</v>
      </c>
      <c r="D116" s="12">
        <f>IF(F115+SUM(E$101:E115)=D$92,F115,D$92-SUM(E$101:E115))</f>
        <v>14590.5</v>
      </c>
      <c r="E116" s="355">
        <f>IF(+J96&lt;F115,J96,D116)</f>
        <v>597</v>
      </c>
      <c r="F116" s="55">
        <f t="shared" si="68"/>
        <v>13993.5</v>
      </c>
      <c r="G116" s="55">
        <f t="shared" si="69"/>
        <v>14292</v>
      </c>
      <c r="H116" s="356">
        <f t="shared" si="70"/>
        <v>2516.6829998523153</v>
      </c>
      <c r="I116" s="381">
        <f t="shared" si="71"/>
        <v>2516.6829998523153</v>
      </c>
      <c r="J116" s="54">
        <f t="shared" si="51"/>
        <v>0</v>
      </c>
      <c r="K116" s="54"/>
      <c r="L116" s="115"/>
      <c r="M116" s="54">
        <f t="shared" si="72"/>
        <v>0</v>
      </c>
      <c r="N116" s="115"/>
      <c r="O116" s="54">
        <f t="shared" si="73"/>
        <v>0</v>
      </c>
      <c r="P116" s="54">
        <f t="shared" si="62"/>
        <v>0</v>
      </c>
    </row>
    <row r="117" spans="2:16" ht="12.5">
      <c r="B117" s="7" t="str">
        <f t="shared" si="50"/>
        <v/>
      </c>
      <c r="C117" s="50">
        <f>IF(D93="","-",+C116+1)</f>
        <v>2028</v>
      </c>
      <c r="D117" s="12">
        <f>IF(F116+SUM(E$101:E116)=D$92,F116,D$92-SUM(E$101:E116))</f>
        <v>13993.5</v>
      </c>
      <c r="E117" s="355">
        <f>IF(+J96&lt;F116,J96,D117)</f>
        <v>597</v>
      </c>
      <c r="F117" s="55">
        <f t="shared" si="68"/>
        <v>13396.5</v>
      </c>
      <c r="G117" s="55">
        <f t="shared" si="69"/>
        <v>13695</v>
      </c>
      <c r="H117" s="356">
        <f t="shared" si="70"/>
        <v>2436.4947301271663</v>
      </c>
      <c r="I117" s="381">
        <f t="shared" si="71"/>
        <v>2436.4947301271663</v>
      </c>
      <c r="J117" s="54">
        <f t="shared" si="51"/>
        <v>0</v>
      </c>
      <c r="K117" s="54"/>
      <c r="L117" s="115"/>
      <c r="M117" s="54">
        <f t="shared" si="72"/>
        <v>0</v>
      </c>
      <c r="N117" s="115"/>
      <c r="O117" s="54">
        <f t="shared" si="73"/>
        <v>0</v>
      </c>
      <c r="P117" s="54">
        <f t="shared" si="62"/>
        <v>0</v>
      </c>
    </row>
    <row r="118" spans="2:16" ht="12.5">
      <c r="B118" s="7" t="str">
        <f t="shared" si="50"/>
        <v/>
      </c>
      <c r="C118" s="50">
        <f>IF(D93="","-",+C117+1)</f>
        <v>2029</v>
      </c>
      <c r="D118" s="12">
        <f>IF(F117+SUM(E$101:E117)=D$92,F117,D$92-SUM(E$101:E117))</f>
        <v>13396.5</v>
      </c>
      <c r="E118" s="355">
        <f>IF(+J96&lt;F117,J96,D118)</f>
        <v>597</v>
      </c>
      <c r="F118" s="55">
        <f t="shared" si="68"/>
        <v>12799.5</v>
      </c>
      <c r="G118" s="55">
        <f t="shared" si="69"/>
        <v>13098</v>
      </c>
      <c r="H118" s="356">
        <f t="shared" si="70"/>
        <v>2356.3064604020174</v>
      </c>
      <c r="I118" s="381">
        <f t="shared" si="71"/>
        <v>2356.3064604020174</v>
      </c>
      <c r="J118" s="54">
        <f t="shared" si="51"/>
        <v>0</v>
      </c>
      <c r="K118" s="54"/>
      <c r="L118" s="115"/>
      <c r="M118" s="54">
        <f t="shared" si="72"/>
        <v>0</v>
      </c>
      <c r="N118" s="115"/>
      <c r="O118" s="54">
        <f t="shared" si="73"/>
        <v>0</v>
      </c>
      <c r="P118" s="54">
        <f t="shared" si="62"/>
        <v>0</v>
      </c>
    </row>
    <row r="119" spans="2:16" ht="12.5">
      <c r="B119" s="7" t="str">
        <f t="shared" si="50"/>
        <v/>
      </c>
      <c r="C119" s="50">
        <f>IF(D93="","-",+C118+1)</f>
        <v>2030</v>
      </c>
      <c r="D119" s="12">
        <f>IF(F118+SUM(E$101:E118)=D$92,F118,D$92-SUM(E$101:E118))</f>
        <v>12799.5</v>
      </c>
      <c r="E119" s="355">
        <f t="shared" ref="E119:E154" si="74">IF(+J$96&lt;F118,J$96,D119)</f>
        <v>597</v>
      </c>
      <c r="F119" s="55">
        <f t="shared" si="68"/>
        <v>12202.5</v>
      </c>
      <c r="G119" s="55">
        <f t="shared" si="69"/>
        <v>12501</v>
      </c>
      <c r="H119" s="356">
        <f t="shared" si="70"/>
        <v>2276.1181906768679</v>
      </c>
      <c r="I119" s="381">
        <f t="shared" si="71"/>
        <v>2276.1181906768679</v>
      </c>
      <c r="J119" s="54">
        <f t="shared" si="51"/>
        <v>0</v>
      </c>
      <c r="K119" s="54"/>
      <c r="L119" s="115"/>
      <c r="M119" s="54">
        <f t="shared" si="72"/>
        <v>0</v>
      </c>
      <c r="N119" s="115"/>
      <c r="O119" s="54">
        <f t="shared" si="73"/>
        <v>0</v>
      </c>
      <c r="P119" s="54">
        <f t="shared" si="62"/>
        <v>0</v>
      </c>
    </row>
    <row r="120" spans="2:16" ht="12.5">
      <c r="B120" s="7" t="str">
        <f t="shared" si="50"/>
        <v/>
      </c>
      <c r="C120" s="50">
        <f>IF(D93="","-",+C119+1)</f>
        <v>2031</v>
      </c>
      <c r="D120" s="12">
        <f>IF(F119+SUM(E$101:E119)=D$92,F119,D$92-SUM(E$101:E119))</f>
        <v>12202.5</v>
      </c>
      <c r="E120" s="355">
        <f t="shared" si="74"/>
        <v>597</v>
      </c>
      <c r="F120" s="55">
        <f t="shared" si="68"/>
        <v>11605.5</v>
      </c>
      <c r="G120" s="55">
        <f t="shared" si="69"/>
        <v>11904</v>
      </c>
      <c r="H120" s="356">
        <f t="shared" si="70"/>
        <v>2195.9299209517185</v>
      </c>
      <c r="I120" s="381">
        <f t="shared" si="71"/>
        <v>2195.9299209517185</v>
      </c>
      <c r="J120" s="54">
        <f t="shared" si="51"/>
        <v>0</v>
      </c>
      <c r="K120" s="54"/>
      <c r="L120" s="115"/>
      <c r="M120" s="54">
        <f t="shared" si="72"/>
        <v>0</v>
      </c>
      <c r="N120" s="115"/>
      <c r="O120" s="54">
        <f t="shared" si="73"/>
        <v>0</v>
      </c>
      <c r="P120" s="54">
        <f t="shared" si="62"/>
        <v>0</v>
      </c>
    </row>
    <row r="121" spans="2:16" ht="12.5">
      <c r="B121" s="7" t="str">
        <f t="shared" si="50"/>
        <v/>
      </c>
      <c r="C121" s="50">
        <f>IF(D93="","-",+C120+1)</f>
        <v>2032</v>
      </c>
      <c r="D121" s="12">
        <f>IF(F120+SUM(E$101:E120)=D$92,F120,D$92-SUM(E$101:E120))</f>
        <v>11605.5</v>
      </c>
      <c r="E121" s="355">
        <f t="shared" si="74"/>
        <v>597</v>
      </c>
      <c r="F121" s="55">
        <f t="shared" si="68"/>
        <v>11008.5</v>
      </c>
      <c r="G121" s="55">
        <f t="shared" si="69"/>
        <v>11307</v>
      </c>
      <c r="H121" s="356">
        <f t="shared" si="70"/>
        <v>2115.7416512265695</v>
      </c>
      <c r="I121" s="381">
        <f t="shared" si="71"/>
        <v>2115.7416512265695</v>
      </c>
      <c r="J121" s="54">
        <f t="shared" si="51"/>
        <v>0</v>
      </c>
      <c r="K121" s="54"/>
      <c r="L121" s="115"/>
      <c r="M121" s="54">
        <f t="shared" si="72"/>
        <v>0</v>
      </c>
      <c r="N121" s="115"/>
      <c r="O121" s="54">
        <f t="shared" si="73"/>
        <v>0</v>
      </c>
      <c r="P121" s="54">
        <f t="shared" si="62"/>
        <v>0</v>
      </c>
    </row>
    <row r="122" spans="2:16" ht="12.5">
      <c r="B122" s="7" t="str">
        <f t="shared" si="50"/>
        <v/>
      </c>
      <c r="C122" s="50">
        <f>IF(D93="","-",+C121+1)</f>
        <v>2033</v>
      </c>
      <c r="D122" s="12">
        <f>IF(F121+SUM(E$101:E121)=D$92,F121,D$92-SUM(E$101:E121))</f>
        <v>11008.5</v>
      </c>
      <c r="E122" s="355">
        <f t="shared" si="74"/>
        <v>597</v>
      </c>
      <c r="F122" s="55">
        <f t="shared" si="68"/>
        <v>10411.5</v>
      </c>
      <c r="G122" s="55">
        <f t="shared" si="69"/>
        <v>10710</v>
      </c>
      <c r="H122" s="356">
        <f t="shared" si="70"/>
        <v>2035.5533815014203</v>
      </c>
      <c r="I122" s="381">
        <f t="shared" si="71"/>
        <v>2035.5533815014203</v>
      </c>
      <c r="J122" s="54">
        <f t="shared" si="51"/>
        <v>0</v>
      </c>
      <c r="K122" s="54"/>
      <c r="L122" s="115"/>
      <c r="M122" s="54">
        <f t="shared" si="72"/>
        <v>0</v>
      </c>
      <c r="N122" s="115"/>
      <c r="O122" s="54">
        <f t="shared" si="73"/>
        <v>0</v>
      </c>
      <c r="P122" s="54">
        <f t="shared" si="62"/>
        <v>0</v>
      </c>
    </row>
    <row r="123" spans="2:16" ht="12.5">
      <c r="B123" s="7" t="str">
        <f t="shared" si="50"/>
        <v/>
      </c>
      <c r="C123" s="50">
        <f>IF(D93="","-",+C122+1)</f>
        <v>2034</v>
      </c>
      <c r="D123" s="12">
        <f>IF(F122+SUM(E$101:E122)=D$92,F122,D$92-SUM(E$101:E122))</f>
        <v>10411.5</v>
      </c>
      <c r="E123" s="355">
        <f t="shared" si="74"/>
        <v>597</v>
      </c>
      <c r="F123" s="55">
        <f t="shared" si="68"/>
        <v>9814.5</v>
      </c>
      <c r="G123" s="55">
        <f t="shared" si="69"/>
        <v>10113</v>
      </c>
      <c r="H123" s="356">
        <f t="shared" si="70"/>
        <v>1955.3651117762711</v>
      </c>
      <c r="I123" s="381">
        <f t="shared" si="71"/>
        <v>1955.3651117762711</v>
      </c>
      <c r="J123" s="54">
        <f t="shared" si="51"/>
        <v>0</v>
      </c>
      <c r="K123" s="54"/>
      <c r="L123" s="115"/>
      <c r="M123" s="54">
        <f t="shared" si="72"/>
        <v>0</v>
      </c>
      <c r="N123" s="115"/>
      <c r="O123" s="54">
        <f t="shared" si="73"/>
        <v>0</v>
      </c>
      <c r="P123" s="54">
        <f t="shared" si="62"/>
        <v>0</v>
      </c>
    </row>
    <row r="124" spans="2:16" ht="12.5">
      <c r="B124" s="7" t="str">
        <f t="shared" si="50"/>
        <v/>
      </c>
      <c r="C124" s="50">
        <f>IF(D93="","-",+C123+1)</f>
        <v>2035</v>
      </c>
      <c r="D124" s="12">
        <f>IF(F123+SUM(E$101:E123)=D$92,F123,D$92-SUM(E$101:E123))</f>
        <v>9814.5</v>
      </c>
      <c r="E124" s="355">
        <f t="shared" si="74"/>
        <v>597</v>
      </c>
      <c r="F124" s="55">
        <f t="shared" si="68"/>
        <v>9217.5</v>
      </c>
      <c r="G124" s="55">
        <f t="shared" si="69"/>
        <v>9516</v>
      </c>
      <c r="H124" s="356">
        <f t="shared" si="70"/>
        <v>1875.1768420511219</v>
      </c>
      <c r="I124" s="381">
        <f t="shared" si="71"/>
        <v>1875.1768420511219</v>
      </c>
      <c r="J124" s="54">
        <f t="shared" si="51"/>
        <v>0</v>
      </c>
      <c r="K124" s="54"/>
      <c r="L124" s="115"/>
      <c r="M124" s="54">
        <f t="shared" si="72"/>
        <v>0</v>
      </c>
      <c r="N124" s="115"/>
      <c r="O124" s="54">
        <f t="shared" si="73"/>
        <v>0</v>
      </c>
      <c r="P124" s="54">
        <f t="shared" si="62"/>
        <v>0</v>
      </c>
    </row>
    <row r="125" spans="2:16" ht="12.5">
      <c r="B125" s="7" t="str">
        <f t="shared" si="50"/>
        <v/>
      </c>
      <c r="C125" s="50">
        <f>IF(D93="","-",+C124+1)</f>
        <v>2036</v>
      </c>
      <c r="D125" s="12">
        <f>IF(F124+SUM(E$101:E124)=D$92,F124,D$92-SUM(E$101:E124))</f>
        <v>9217.5</v>
      </c>
      <c r="E125" s="355">
        <f t="shared" si="74"/>
        <v>597</v>
      </c>
      <c r="F125" s="55">
        <f t="shared" si="68"/>
        <v>8620.5</v>
      </c>
      <c r="G125" s="55">
        <f t="shared" si="69"/>
        <v>8919</v>
      </c>
      <c r="H125" s="356">
        <f t="shared" si="70"/>
        <v>1794.9885723259727</v>
      </c>
      <c r="I125" s="381">
        <f t="shared" si="71"/>
        <v>1794.9885723259727</v>
      </c>
      <c r="J125" s="54">
        <f t="shared" si="51"/>
        <v>0</v>
      </c>
      <c r="K125" s="54"/>
      <c r="L125" s="115"/>
      <c r="M125" s="54">
        <f t="shared" si="72"/>
        <v>0</v>
      </c>
      <c r="N125" s="115"/>
      <c r="O125" s="54">
        <f t="shared" si="73"/>
        <v>0</v>
      </c>
      <c r="P125" s="54">
        <f t="shared" si="62"/>
        <v>0</v>
      </c>
    </row>
    <row r="126" spans="2:16" ht="12.5">
      <c r="B126" s="7" t="str">
        <f t="shared" si="50"/>
        <v/>
      </c>
      <c r="C126" s="50">
        <f>IF(D93="","-",+C125+1)</f>
        <v>2037</v>
      </c>
      <c r="D126" s="12">
        <f>IF(F125+SUM(E$101:E125)=D$92,F125,D$92-SUM(E$101:E125))</f>
        <v>8620.5</v>
      </c>
      <c r="E126" s="355">
        <f t="shared" si="74"/>
        <v>597</v>
      </c>
      <c r="F126" s="55">
        <f t="shared" si="68"/>
        <v>8023.5</v>
      </c>
      <c r="G126" s="55">
        <f t="shared" si="69"/>
        <v>8322</v>
      </c>
      <c r="H126" s="356">
        <f t="shared" si="70"/>
        <v>1714.8003026008234</v>
      </c>
      <c r="I126" s="381">
        <f t="shared" si="71"/>
        <v>1714.8003026008234</v>
      </c>
      <c r="J126" s="54">
        <f t="shared" si="51"/>
        <v>0</v>
      </c>
      <c r="K126" s="54"/>
      <c r="L126" s="115"/>
      <c r="M126" s="54">
        <f t="shared" si="72"/>
        <v>0</v>
      </c>
      <c r="N126" s="115"/>
      <c r="O126" s="54">
        <f t="shared" si="73"/>
        <v>0</v>
      </c>
      <c r="P126" s="54">
        <f t="shared" si="62"/>
        <v>0</v>
      </c>
    </row>
    <row r="127" spans="2:16" ht="12.5">
      <c r="B127" s="7" t="str">
        <f t="shared" si="50"/>
        <v/>
      </c>
      <c r="C127" s="50">
        <f>IF(D93="","-",+C126+1)</f>
        <v>2038</v>
      </c>
      <c r="D127" s="12">
        <f>IF(F126+SUM(E$101:E126)=D$92,F126,D$92-SUM(E$101:E126))</f>
        <v>8023.5</v>
      </c>
      <c r="E127" s="355">
        <f t="shared" si="74"/>
        <v>597</v>
      </c>
      <c r="F127" s="55">
        <f t="shared" si="68"/>
        <v>7426.5</v>
      </c>
      <c r="G127" s="55">
        <f t="shared" si="69"/>
        <v>7725</v>
      </c>
      <c r="H127" s="356">
        <f t="shared" si="70"/>
        <v>1634.6120328756742</v>
      </c>
      <c r="I127" s="381">
        <f t="shared" si="71"/>
        <v>1634.6120328756742</v>
      </c>
      <c r="J127" s="54">
        <f t="shared" si="51"/>
        <v>0</v>
      </c>
      <c r="K127" s="54"/>
      <c r="L127" s="115"/>
      <c r="M127" s="54">
        <f t="shared" si="72"/>
        <v>0</v>
      </c>
      <c r="N127" s="115"/>
      <c r="O127" s="54">
        <f t="shared" si="73"/>
        <v>0</v>
      </c>
      <c r="P127" s="54">
        <f t="shared" si="62"/>
        <v>0</v>
      </c>
    </row>
    <row r="128" spans="2:16" ht="12.5">
      <c r="B128" s="7" t="str">
        <f t="shared" si="50"/>
        <v/>
      </c>
      <c r="C128" s="50">
        <f>IF(D93="","-",+C127+1)</f>
        <v>2039</v>
      </c>
      <c r="D128" s="12">
        <f>IF(F127+SUM(E$101:E127)=D$92,F127,D$92-SUM(E$101:E127))</f>
        <v>7426.5</v>
      </c>
      <c r="E128" s="355">
        <f t="shared" si="74"/>
        <v>597</v>
      </c>
      <c r="F128" s="55">
        <f t="shared" si="68"/>
        <v>6829.5</v>
      </c>
      <c r="G128" s="55">
        <f t="shared" si="69"/>
        <v>7128</v>
      </c>
      <c r="H128" s="356">
        <f t="shared" si="70"/>
        <v>1554.4237631505252</v>
      </c>
      <c r="I128" s="381">
        <f t="shared" si="71"/>
        <v>1554.4237631505252</v>
      </c>
      <c r="J128" s="54">
        <f t="shared" si="51"/>
        <v>0</v>
      </c>
      <c r="K128" s="54"/>
      <c r="L128" s="115"/>
      <c r="M128" s="54">
        <f t="shared" si="72"/>
        <v>0</v>
      </c>
      <c r="N128" s="115"/>
      <c r="O128" s="54">
        <f t="shared" si="73"/>
        <v>0</v>
      </c>
      <c r="P128" s="54">
        <f t="shared" si="62"/>
        <v>0</v>
      </c>
    </row>
    <row r="129" spans="2:16" ht="12.5">
      <c r="B129" s="7" t="str">
        <f t="shared" si="50"/>
        <v/>
      </c>
      <c r="C129" s="50">
        <f>IF(D93="","-",+C128+1)</f>
        <v>2040</v>
      </c>
      <c r="D129" s="12">
        <f>IF(F128+SUM(E$101:E128)=D$92,F128,D$92-SUM(E$101:E128))</f>
        <v>6829.5</v>
      </c>
      <c r="E129" s="355">
        <f t="shared" si="74"/>
        <v>597</v>
      </c>
      <c r="F129" s="55">
        <f t="shared" si="68"/>
        <v>6232.5</v>
      </c>
      <c r="G129" s="55">
        <f t="shared" si="69"/>
        <v>6531</v>
      </c>
      <c r="H129" s="356">
        <f t="shared" si="70"/>
        <v>1474.2354934253758</v>
      </c>
      <c r="I129" s="381">
        <f t="shared" si="71"/>
        <v>1474.2354934253758</v>
      </c>
      <c r="J129" s="54">
        <f t="shared" si="51"/>
        <v>0</v>
      </c>
      <c r="K129" s="54"/>
      <c r="L129" s="115"/>
      <c r="M129" s="54">
        <f t="shared" si="72"/>
        <v>0</v>
      </c>
      <c r="N129" s="115"/>
      <c r="O129" s="54">
        <f t="shared" si="73"/>
        <v>0</v>
      </c>
      <c r="P129" s="54">
        <f t="shared" si="62"/>
        <v>0</v>
      </c>
    </row>
    <row r="130" spans="2:16" ht="12.5">
      <c r="B130" s="7" t="str">
        <f t="shared" si="50"/>
        <v/>
      </c>
      <c r="C130" s="50">
        <f>IF(D93="","-",+C129+1)</f>
        <v>2041</v>
      </c>
      <c r="D130" s="12">
        <f>IF(F129+SUM(E$101:E129)=D$92,F129,D$92-SUM(E$101:E129))</f>
        <v>6232.5</v>
      </c>
      <c r="E130" s="355">
        <f t="shared" si="74"/>
        <v>597</v>
      </c>
      <c r="F130" s="55">
        <f t="shared" si="68"/>
        <v>5635.5</v>
      </c>
      <c r="G130" s="55">
        <f t="shared" si="69"/>
        <v>5934</v>
      </c>
      <c r="H130" s="356">
        <f t="shared" si="70"/>
        <v>1394.0472237002268</v>
      </c>
      <c r="I130" s="381">
        <f t="shared" si="71"/>
        <v>1394.0472237002268</v>
      </c>
      <c r="J130" s="54">
        <f t="shared" si="51"/>
        <v>0</v>
      </c>
      <c r="K130" s="54"/>
      <c r="L130" s="115"/>
      <c r="M130" s="54">
        <f t="shared" si="72"/>
        <v>0</v>
      </c>
      <c r="N130" s="115"/>
      <c r="O130" s="54">
        <f t="shared" si="73"/>
        <v>0</v>
      </c>
      <c r="P130" s="54">
        <f t="shared" si="62"/>
        <v>0</v>
      </c>
    </row>
    <row r="131" spans="2:16" ht="12.5">
      <c r="B131" s="7" t="str">
        <f t="shared" si="50"/>
        <v/>
      </c>
      <c r="C131" s="50">
        <f>IF(D93="","-",+C130+1)</f>
        <v>2042</v>
      </c>
      <c r="D131" s="12">
        <f>IF(F130+SUM(E$101:E130)=D$92,F130,D$92-SUM(E$101:E130))</f>
        <v>5635.5</v>
      </c>
      <c r="E131" s="355">
        <f t="shared" si="74"/>
        <v>597</v>
      </c>
      <c r="F131" s="55">
        <f t="shared" si="68"/>
        <v>5038.5</v>
      </c>
      <c r="G131" s="55">
        <f t="shared" si="69"/>
        <v>5337</v>
      </c>
      <c r="H131" s="356">
        <f t="shared" si="70"/>
        <v>1313.8589539750774</v>
      </c>
      <c r="I131" s="381">
        <f t="shared" si="71"/>
        <v>1313.8589539750774</v>
      </c>
      <c r="J131" s="54">
        <f t="shared" si="51"/>
        <v>0</v>
      </c>
      <c r="K131" s="54"/>
      <c r="L131" s="115"/>
      <c r="M131" s="54">
        <f t="shared" ref="M131:M154" si="75">IF(L540&lt;&gt;0,+H540-L540,0)</f>
        <v>0</v>
      </c>
      <c r="N131" s="115"/>
      <c r="O131" s="54">
        <f t="shared" si="73"/>
        <v>0</v>
      </c>
      <c r="P131" s="54">
        <f t="shared" si="62"/>
        <v>0</v>
      </c>
    </row>
    <row r="132" spans="2:16" ht="12.5">
      <c r="B132" s="7" t="str">
        <f t="shared" si="50"/>
        <v/>
      </c>
      <c r="C132" s="50">
        <f>IF(D93="","-",+C131+1)</f>
        <v>2043</v>
      </c>
      <c r="D132" s="12">
        <f>IF(F131+SUM(E$101:E131)=D$92,F131,D$92-SUM(E$101:E131))</f>
        <v>5038.5</v>
      </c>
      <c r="E132" s="355">
        <f t="shared" si="74"/>
        <v>597</v>
      </c>
      <c r="F132" s="55">
        <f t="shared" si="68"/>
        <v>4441.5</v>
      </c>
      <c r="G132" s="55">
        <f t="shared" si="69"/>
        <v>4740</v>
      </c>
      <c r="H132" s="356">
        <f t="shared" si="70"/>
        <v>1233.6706842499284</v>
      </c>
      <c r="I132" s="381">
        <f t="shared" si="71"/>
        <v>1233.6706842499284</v>
      </c>
      <c r="J132" s="54">
        <f t="shared" si="51"/>
        <v>0</v>
      </c>
      <c r="K132" s="54"/>
      <c r="L132" s="115"/>
      <c r="M132" s="54">
        <f t="shared" si="75"/>
        <v>0</v>
      </c>
      <c r="N132" s="115"/>
      <c r="O132" s="54">
        <f t="shared" si="73"/>
        <v>0</v>
      </c>
      <c r="P132" s="54">
        <f t="shared" si="62"/>
        <v>0</v>
      </c>
    </row>
    <row r="133" spans="2:16" ht="12.5">
      <c r="B133" s="7" t="str">
        <f t="shared" si="50"/>
        <v/>
      </c>
      <c r="C133" s="50">
        <f>IF(D93="","-",+C132+1)</f>
        <v>2044</v>
      </c>
      <c r="D133" s="12">
        <f>IF(F132+SUM(E$101:E132)=D$92,F132,D$92-SUM(E$101:E132))</f>
        <v>4441.5</v>
      </c>
      <c r="E133" s="355">
        <f t="shared" si="74"/>
        <v>597</v>
      </c>
      <c r="F133" s="55">
        <f t="shared" si="68"/>
        <v>3844.5</v>
      </c>
      <c r="G133" s="55">
        <f t="shared" ref="G133:G154" si="76">+(F133+D133)/2</f>
        <v>4143</v>
      </c>
      <c r="H133" s="356">
        <f t="shared" ref="H133:H154" si="77">+J$94*G133+E133</f>
        <v>1153.482414524779</v>
      </c>
      <c r="I133" s="381">
        <f t="shared" ref="I133:I154" si="78">+J$95*G133+E133</f>
        <v>1153.482414524779</v>
      </c>
      <c r="J133" s="54">
        <f t="shared" ref="J133:J154" si="79">+I540-H540</f>
        <v>0</v>
      </c>
      <c r="K133" s="54"/>
      <c r="L133" s="115"/>
      <c r="M133" s="54">
        <f t="shared" si="75"/>
        <v>0</v>
      </c>
      <c r="N133" s="115"/>
      <c r="O133" s="54">
        <f t="shared" si="73"/>
        <v>0</v>
      </c>
      <c r="P133" s="54">
        <f t="shared" si="62"/>
        <v>0</v>
      </c>
    </row>
    <row r="134" spans="2:16" ht="12.5">
      <c r="B134" s="7" t="str">
        <f t="shared" ref="B134:B154" si="80">IF(D134=F133,"","IU")</f>
        <v/>
      </c>
      <c r="C134" s="50">
        <f>IF(D93="","-",+C133+1)</f>
        <v>2045</v>
      </c>
      <c r="D134" s="12">
        <f>IF(F133+SUM(E$101:E133)=D$92,F133,D$92-SUM(E$101:E133))</f>
        <v>3844.5</v>
      </c>
      <c r="E134" s="355">
        <f t="shared" si="74"/>
        <v>597</v>
      </c>
      <c r="F134" s="55">
        <f t="shared" ref="F134:F154" si="81">+D134-E134</f>
        <v>3247.5</v>
      </c>
      <c r="G134" s="55">
        <f t="shared" si="76"/>
        <v>3546</v>
      </c>
      <c r="H134" s="356">
        <f t="shared" si="77"/>
        <v>1073.29414479963</v>
      </c>
      <c r="I134" s="381">
        <f t="shared" si="78"/>
        <v>1073.29414479963</v>
      </c>
      <c r="J134" s="54">
        <f t="shared" si="79"/>
        <v>0</v>
      </c>
      <c r="K134" s="54"/>
      <c r="L134" s="115"/>
      <c r="M134" s="54">
        <f t="shared" si="75"/>
        <v>0</v>
      </c>
      <c r="N134" s="115"/>
      <c r="O134" s="54">
        <f t="shared" si="73"/>
        <v>0</v>
      </c>
      <c r="P134" s="54">
        <f t="shared" si="62"/>
        <v>0</v>
      </c>
    </row>
    <row r="135" spans="2:16" ht="12.5">
      <c r="B135" s="7" t="str">
        <f t="shared" si="80"/>
        <v/>
      </c>
      <c r="C135" s="50">
        <f>IF(D93="","-",+C134+1)</f>
        <v>2046</v>
      </c>
      <c r="D135" s="12">
        <f>IF(F134+SUM(E$101:E134)=D$92,F134,D$92-SUM(E$101:E134))</f>
        <v>3247.5</v>
      </c>
      <c r="E135" s="355">
        <f t="shared" si="74"/>
        <v>597</v>
      </c>
      <c r="F135" s="55">
        <f t="shared" si="81"/>
        <v>2650.5</v>
      </c>
      <c r="G135" s="55">
        <f t="shared" si="76"/>
        <v>2949</v>
      </c>
      <c r="H135" s="356">
        <f t="shared" si="77"/>
        <v>993.10587507448076</v>
      </c>
      <c r="I135" s="381">
        <f t="shared" si="78"/>
        <v>993.10587507448076</v>
      </c>
      <c r="J135" s="54">
        <f t="shared" si="79"/>
        <v>0</v>
      </c>
      <c r="K135" s="54"/>
      <c r="L135" s="115"/>
      <c r="M135" s="54">
        <f t="shared" si="75"/>
        <v>0</v>
      </c>
      <c r="N135" s="115"/>
      <c r="O135" s="54">
        <f t="shared" si="73"/>
        <v>0</v>
      </c>
      <c r="P135" s="54">
        <f t="shared" si="62"/>
        <v>0</v>
      </c>
    </row>
    <row r="136" spans="2:16" ht="12.5">
      <c r="B136" s="7" t="str">
        <f t="shared" si="80"/>
        <v/>
      </c>
      <c r="C136" s="50">
        <f>IF(D93="","-",+C135+1)</f>
        <v>2047</v>
      </c>
      <c r="D136" s="12">
        <f>IF(F135+SUM(E$101:E135)=D$92,F135,D$92-SUM(E$101:E135))</f>
        <v>2650.5</v>
      </c>
      <c r="E136" s="355">
        <f t="shared" si="74"/>
        <v>597</v>
      </c>
      <c r="F136" s="55">
        <f t="shared" si="81"/>
        <v>2053.5</v>
      </c>
      <c r="G136" s="55">
        <f t="shared" si="76"/>
        <v>2352</v>
      </c>
      <c r="H136" s="356">
        <f t="shared" si="77"/>
        <v>912.91760534933155</v>
      </c>
      <c r="I136" s="381">
        <f t="shared" si="78"/>
        <v>912.91760534933155</v>
      </c>
      <c r="J136" s="54">
        <f t="shared" si="79"/>
        <v>0</v>
      </c>
      <c r="K136" s="54"/>
      <c r="L136" s="115"/>
      <c r="M136" s="54">
        <f t="shared" si="75"/>
        <v>0</v>
      </c>
      <c r="N136" s="115"/>
      <c r="O136" s="54">
        <f t="shared" si="73"/>
        <v>0</v>
      </c>
      <c r="P136" s="54">
        <f t="shared" si="62"/>
        <v>0</v>
      </c>
    </row>
    <row r="137" spans="2:16" ht="12.5">
      <c r="B137" s="7" t="str">
        <f t="shared" si="80"/>
        <v/>
      </c>
      <c r="C137" s="50">
        <f>IF(D93="","-",+C136+1)</f>
        <v>2048</v>
      </c>
      <c r="D137" s="12">
        <f>IF(F136+SUM(E$101:E136)=D$92,F136,D$92-SUM(E$101:E136))</f>
        <v>2053.5</v>
      </c>
      <c r="E137" s="355">
        <f t="shared" si="74"/>
        <v>597</v>
      </c>
      <c r="F137" s="55">
        <f t="shared" si="81"/>
        <v>1456.5</v>
      </c>
      <c r="G137" s="55">
        <f t="shared" si="76"/>
        <v>1755</v>
      </c>
      <c r="H137" s="356">
        <f t="shared" si="77"/>
        <v>832.72933562418234</v>
      </c>
      <c r="I137" s="381">
        <f t="shared" si="78"/>
        <v>832.72933562418234</v>
      </c>
      <c r="J137" s="54">
        <f t="shared" si="79"/>
        <v>0</v>
      </c>
      <c r="K137" s="54"/>
      <c r="L137" s="115"/>
      <c r="M137" s="54">
        <f t="shared" si="75"/>
        <v>0</v>
      </c>
      <c r="N137" s="115"/>
      <c r="O137" s="54">
        <f t="shared" si="73"/>
        <v>0</v>
      </c>
      <c r="P137" s="54">
        <f t="shared" si="62"/>
        <v>0</v>
      </c>
    </row>
    <row r="138" spans="2:16" ht="12.5">
      <c r="B138" s="7" t="str">
        <f t="shared" si="80"/>
        <v/>
      </c>
      <c r="C138" s="50">
        <f>IF(D93="","-",+C137+1)</f>
        <v>2049</v>
      </c>
      <c r="D138" s="12">
        <f>IF(F137+SUM(E$101:E137)=D$92,F137,D$92-SUM(E$101:E137))</f>
        <v>1456.5</v>
      </c>
      <c r="E138" s="355">
        <f t="shared" si="74"/>
        <v>597</v>
      </c>
      <c r="F138" s="55">
        <f t="shared" si="81"/>
        <v>859.5</v>
      </c>
      <c r="G138" s="55">
        <f t="shared" si="76"/>
        <v>1158</v>
      </c>
      <c r="H138" s="356">
        <f t="shared" si="77"/>
        <v>752.54106589903313</v>
      </c>
      <c r="I138" s="381">
        <f t="shared" si="78"/>
        <v>752.54106589903313</v>
      </c>
      <c r="J138" s="54">
        <f t="shared" si="79"/>
        <v>0</v>
      </c>
      <c r="K138" s="54"/>
      <c r="L138" s="115"/>
      <c r="M138" s="54">
        <f t="shared" si="75"/>
        <v>0</v>
      </c>
      <c r="N138" s="115"/>
      <c r="O138" s="54">
        <f t="shared" si="73"/>
        <v>0</v>
      </c>
      <c r="P138" s="54">
        <f t="shared" si="62"/>
        <v>0</v>
      </c>
    </row>
    <row r="139" spans="2:16" ht="12.5">
      <c r="B139" s="7" t="str">
        <f t="shared" si="80"/>
        <v/>
      </c>
      <c r="C139" s="50">
        <f>IF(D93="","-",+C138+1)</f>
        <v>2050</v>
      </c>
      <c r="D139" s="12">
        <f>IF(F138+SUM(E$101:E138)=D$92,F138,D$92-SUM(E$101:E138))</f>
        <v>859.5</v>
      </c>
      <c r="E139" s="355">
        <f t="shared" si="74"/>
        <v>597</v>
      </c>
      <c r="F139" s="55">
        <f t="shared" si="81"/>
        <v>262.5</v>
      </c>
      <c r="G139" s="55">
        <f t="shared" si="76"/>
        <v>561</v>
      </c>
      <c r="H139" s="356">
        <f t="shared" si="77"/>
        <v>672.35279617388392</v>
      </c>
      <c r="I139" s="381">
        <f t="shared" si="78"/>
        <v>672.35279617388392</v>
      </c>
      <c r="J139" s="54">
        <f t="shared" si="79"/>
        <v>0</v>
      </c>
      <c r="K139" s="54"/>
      <c r="L139" s="115"/>
      <c r="M139" s="54">
        <f t="shared" si="75"/>
        <v>0</v>
      </c>
      <c r="N139" s="115"/>
      <c r="O139" s="54">
        <f t="shared" si="73"/>
        <v>0</v>
      </c>
      <c r="P139" s="54">
        <f t="shared" si="62"/>
        <v>0</v>
      </c>
    </row>
    <row r="140" spans="2:16" ht="12.5">
      <c r="B140" s="7" t="str">
        <f t="shared" si="80"/>
        <v/>
      </c>
      <c r="C140" s="50">
        <f>IF(D93="","-",+C139+1)</f>
        <v>2051</v>
      </c>
      <c r="D140" s="12">
        <f>IF(F139+SUM(E$101:E139)=D$92,F139,D$92-SUM(E$101:E139))</f>
        <v>262.5</v>
      </c>
      <c r="E140" s="355">
        <f t="shared" si="74"/>
        <v>262.5</v>
      </c>
      <c r="F140" s="55">
        <f t="shared" si="81"/>
        <v>0</v>
      </c>
      <c r="G140" s="55">
        <f t="shared" si="76"/>
        <v>131.25</v>
      </c>
      <c r="H140" s="356">
        <f t="shared" si="77"/>
        <v>280.12933065565466</v>
      </c>
      <c r="I140" s="381">
        <f t="shared" si="78"/>
        <v>280.12933065565466</v>
      </c>
      <c r="J140" s="54">
        <f t="shared" si="79"/>
        <v>0</v>
      </c>
      <c r="K140" s="54"/>
      <c r="L140" s="115"/>
      <c r="M140" s="54">
        <f t="shared" si="75"/>
        <v>0</v>
      </c>
      <c r="N140" s="115"/>
      <c r="O140" s="54">
        <f t="shared" si="73"/>
        <v>0</v>
      </c>
      <c r="P140" s="54">
        <f t="shared" si="62"/>
        <v>0</v>
      </c>
    </row>
    <row r="141" spans="2:16" ht="12.5">
      <c r="B141" s="7" t="str">
        <f t="shared" si="80"/>
        <v/>
      </c>
      <c r="C141" s="50">
        <f>IF(D93="","-",+C140+1)</f>
        <v>2052</v>
      </c>
      <c r="D141" s="12">
        <f>IF(F140+SUM(E$101:E140)=D$92,F140,D$92-SUM(E$101:E140))</f>
        <v>0</v>
      </c>
      <c r="E141" s="355">
        <f t="shared" si="74"/>
        <v>0</v>
      </c>
      <c r="F141" s="55">
        <f t="shared" si="81"/>
        <v>0</v>
      </c>
      <c r="G141" s="55">
        <f t="shared" si="76"/>
        <v>0</v>
      </c>
      <c r="H141" s="356">
        <f t="shared" si="77"/>
        <v>0</v>
      </c>
      <c r="I141" s="381">
        <f t="shared" si="78"/>
        <v>0</v>
      </c>
      <c r="J141" s="54">
        <f t="shared" si="79"/>
        <v>0</v>
      </c>
      <c r="K141" s="54"/>
      <c r="L141" s="115"/>
      <c r="M141" s="54">
        <f t="shared" si="75"/>
        <v>0</v>
      </c>
      <c r="N141" s="115"/>
      <c r="O141" s="54">
        <f t="shared" si="73"/>
        <v>0</v>
      </c>
      <c r="P141" s="54">
        <f t="shared" si="62"/>
        <v>0</v>
      </c>
    </row>
    <row r="142" spans="2:16" ht="12.5">
      <c r="B142" s="7" t="str">
        <f t="shared" si="80"/>
        <v/>
      </c>
      <c r="C142" s="50">
        <f>IF(D93="","-",+C141+1)</f>
        <v>2053</v>
      </c>
      <c r="D142" s="12">
        <f>IF(F141+SUM(E$101:E141)=D$92,F141,D$92-SUM(E$101:E141))</f>
        <v>0</v>
      </c>
      <c r="E142" s="355">
        <f t="shared" si="74"/>
        <v>0</v>
      </c>
      <c r="F142" s="55">
        <f t="shared" si="81"/>
        <v>0</v>
      </c>
      <c r="G142" s="55">
        <f t="shared" si="76"/>
        <v>0</v>
      </c>
      <c r="H142" s="356">
        <f t="shared" si="77"/>
        <v>0</v>
      </c>
      <c r="I142" s="381">
        <f t="shared" si="78"/>
        <v>0</v>
      </c>
      <c r="J142" s="54">
        <f t="shared" si="79"/>
        <v>0</v>
      </c>
      <c r="K142" s="54"/>
      <c r="L142" s="115"/>
      <c r="M142" s="54">
        <f t="shared" si="75"/>
        <v>0</v>
      </c>
      <c r="N142" s="115"/>
      <c r="O142" s="54">
        <f t="shared" si="73"/>
        <v>0</v>
      </c>
      <c r="P142" s="54">
        <f t="shared" si="62"/>
        <v>0</v>
      </c>
    </row>
    <row r="143" spans="2:16" ht="12.5">
      <c r="B143" s="7" t="str">
        <f t="shared" si="80"/>
        <v/>
      </c>
      <c r="C143" s="50">
        <f>IF(D93="","-",+C142+1)</f>
        <v>2054</v>
      </c>
      <c r="D143" s="12">
        <f>IF(F142+SUM(E$101:E142)=D$92,F142,D$92-SUM(E$101:E142))</f>
        <v>0</v>
      </c>
      <c r="E143" s="355">
        <f t="shared" si="74"/>
        <v>0</v>
      </c>
      <c r="F143" s="55">
        <f t="shared" si="81"/>
        <v>0</v>
      </c>
      <c r="G143" s="55">
        <f t="shared" si="76"/>
        <v>0</v>
      </c>
      <c r="H143" s="356">
        <f t="shared" si="77"/>
        <v>0</v>
      </c>
      <c r="I143" s="381">
        <f t="shared" si="78"/>
        <v>0</v>
      </c>
      <c r="J143" s="54">
        <f t="shared" si="79"/>
        <v>0</v>
      </c>
      <c r="K143" s="54"/>
      <c r="L143" s="115"/>
      <c r="M143" s="54">
        <f t="shared" si="75"/>
        <v>0</v>
      </c>
      <c r="N143" s="115"/>
      <c r="O143" s="54">
        <f t="shared" si="73"/>
        <v>0</v>
      </c>
      <c r="P143" s="54">
        <f t="shared" si="62"/>
        <v>0</v>
      </c>
    </row>
    <row r="144" spans="2:16" ht="12.5">
      <c r="B144" s="7" t="str">
        <f t="shared" si="80"/>
        <v/>
      </c>
      <c r="C144" s="50">
        <f>IF(D93="","-",+C143+1)</f>
        <v>2055</v>
      </c>
      <c r="D144" s="12">
        <f>IF(F143+SUM(E$101:E143)=D$92,F143,D$92-SUM(E$101:E143))</f>
        <v>0</v>
      </c>
      <c r="E144" s="355">
        <f t="shared" si="74"/>
        <v>0</v>
      </c>
      <c r="F144" s="55">
        <f t="shared" si="81"/>
        <v>0</v>
      </c>
      <c r="G144" s="55">
        <f t="shared" si="76"/>
        <v>0</v>
      </c>
      <c r="H144" s="356">
        <f t="shared" si="77"/>
        <v>0</v>
      </c>
      <c r="I144" s="381">
        <f t="shared" si="78"/>
        <v>0</v>
      </c>
      <c r="J144" s="54">
        <f t="shared" si="79"/>
        <v>0</v>
      </c>
      <c r="K144" s="54"/>
      <c r="L144" s="115"/>
      <c r="M144" s="54">
        <f t="shared" si="75"/>
        <v>0</v>
      </c>
      <c r="N144" s="115"/>
      <c r="O144" s="54">
        <f t="shared" si="73"/>
        <v>0</v>
      </c>
      <c r="P144" s="54">
        <f t="shared" si="62"/>
        <v>0</v>
      </c>
    </row>
    <row r="145" spans="2:16" ht="12.5">
      <c r="B145" s="7" t="str">
        <f t="shared" si="80"/>
        <v/>
      </c>
      <c r="C145" s="50">
        <f>IF(D93="","-",+C144+1)</f>
        <v>2056</v>
      </c>
      <c r="D145" s="12">
        <f>IF(F144+SUM(E$101:E144)=D$92,F144,D$92-SUM(E$101:E144))</f>
        <v>0</v>
      </c>
      <c r="E145" s="355">
        <f t="shared" si="74"/>
        <v>0</v>
      </c>
      <c r="F145" s="55">
        <f t="shared" si="81"/>
        <v>0</v>
      </c>
      <c r="G145" s="55">
        <f t="shared" si="76"/>
        <v>0</v>
      </c>
      <c r="H145" s="356">
        <f t="shared" si="77"/>
        <v>0</v>
      </c>
      <c r="I145" s="381">
        <f t="shared" si="78"/>
        <v>0</v>
      </c>
      <c r="J145" s="54">
        <f t="shared" si="79"/>
        <v>0</v>
      </c>
      <c r="K145" s="54"/>
      <c r="L145" s="115"/>
      <c r="M145" s="54">
        <f t="shared" si="75"/>
        <v>0</v>
      </c>
      <c r="N145" s="115"/>
      <c r="O145" s="54">
        <f t="shared" si="73"/>
        <v>0</v>
      </c>
      <c r="P145" s="54">
        <f t="shared" si="62"/>
        <v>0</v>
      </c>
    </row>
    <row r="146" spans="2:16" ht="12.5">
      <c r="B146" s="7" t="str">
        <f t="shared" si="80"/>
        <v/>
      </c>
      <c r="C146" s="50">
        <f>IF(D93="","-",+C145+1)</f>
        <v>2057</v>
      </c>
      <c r="D146" s="12">
        <f>IF(F145+SUM(E$101:E145)=D$92,F145,D$92-SUM(E$101:E145))</f>
        <v>0</v>
      </c>
      <c r="E146" s="355">
        <f t="shared" si="74"/>
        <v>0</v>
      </c>
      <c r="F146" s="55">
        <f t="shared" si="81"/>
        <v>0</v>
      </c>
      <c r="G146" s="55">
        <f t="shared" si="76"/>
        <v>0</v>
      </c>
      <c r="H146" s="356">
        <f t="shared" si="77"/>
        <v>0</v>
      </c>
      <c r="I146" s="381">
        <f t="shared" si="78"/>
        <v>0</v>
      </c>
      <c r="J146" s="54">
        <f t="shared" si="79"/>
        <v>0</v>
      </c>
      <c r="K146" s="54"/>
      <c r="L146" s="115"/>
      <c r="M146" s="54">
        <f t="shared" si="75"/>
        <v>0</v>
      </c>
      <c r="N146" s="115"/>
      <c r="O146" s="54">
        <f t="shared" si="73"/>
        <v>0</v>
      </c>
      <c r="P146" s="54">
        <f t="shared" si="62"/>
        <v>0</v>
      </c>
    </row>
    <row r="147" spans="2:16" ht="12.5">
      <c r="B147" s="7" t="str">
        <f t="shared" si="80"/>
        <v/>
      </c>
      <c r="C147" s="50">
        <f>IF(D93="","-",+C146+1)</f>
        <v>2058</v>
      </c>
      <c r="D147" s="12">
        <f>IF(F146+SUM(E$101:E146)=D$92,F146,D$92-SUM(E$101:E146))</f>
        <v>0</v>
      </c>
      <c r="E147" s="355">
        <f t="shared" si="74"/>
        <v>0</v>
      </c>
      <c r="F147" s="55">
        <f t="shared" si="81"/>
        <v>0</v>
      </c>
      <c r="G147" s="55">
        <f t="shared" si="76"/>
        <v>0</v>
      </c>
      <c r="H147" s="356">
        <f t="shared" si="77"/>
        <v>0</v>
      </c>
      <c r="I147" s="381">
        <f t="shared" si="78"/>
        <v>0</v>
      </c>
      <c r="J147" s="54">
        <f t="shared" si="79"/>
        <v>0</v>
      </c>
      <c r="K147" s="54"/>
      <c r="L147" s="115"/>
      <c r="M147" s="54">
        <f t="shared" si="75"/>
        <v>0</v>
      </c>
      <c r="N147" s="115"/>
      <c r="O147" s="54">
        <f t="shared" si="73"/>
        <v>0</v>
      </c>
      <c r="P147" s="54">
        <f t="shared" si="62"/>
        <v>0</v>
      </c>
    </row>
    <row r="148" spans="2:16" ht="12.5">
      <c r="B148" s="7" t="str">
        <f t="shared" si="80"/>
        <v/>
      </c>
      <c r="C148" s="50">
        <f>IF(D93="","-",+C147+1)</f>
        <v>2059</v>
      </c>
      <c r="D148" s="12">
        <f>IF(F147+SUM(E$101:E147)=D$92,F147,D$92-SUM(E$101:E147))</f>
        <v>0</v>
      </c>
      <c r="E148" s="355">
        <f t="shared" si="74"/>
        <v>0</v>
      </c>
      <c r="F148" s="55">
        <f t="shared" si="81"/>
        <v>0</v>
      </c>
      <c r="G148" s="55">
        <f t="shared" si="76"/>
        <v>0</v>
      </c>
      <c r="H148" s="356">
        <f t="shared" si="77"/>
        <v>0</v>
      </c>
      <c r="I148" s="381">
        <f t="shared" si="78"/>
        <v>0</v>
      </c>
      <c r="J148" s="54">
        <f t="shared" si="79"/>
        <v>0</v>
      </c>
      <c r="K148" s="54"/>
      <c r="L148" s="115"/>
      <c r="M148" s="54">
        <f t="shared" si="75"/>
        <v>0</v>
      </c>
      <c r="N148" s="115"/>
      <c r="O148" s="54">
        <f t="shared" si="73"/>
        <v>0</v>
      </c>
      <c r="P148" s="54">
        <f t="shared" si="62"/>
        <v>0</v>
      </c>
    </row>
    <row r="149" spans="2:16" ht="12.5">
      <c r="B149" s="7" t="str">
        <f t="shared" si="80"/>
        <v/>
      </c>
      <c r="C149" s="50">
        <f>IF(D93="","-",+C148+1)</f>
        <v>2060</v>
      </c>
      <c r="D149" s="12">
        <f>IF(F148+SUM(E$101:E148)=D$92,F148,D$92-SUM(E$101:E148))</f>
        <v>0</v>
      </c>
      <c r="E149" s="355">
        <f t="shared" si="74"/>
        <v>0</v>
      </c>
      <c r="F149" s="55">
        <f t="shared" si="81"/>
        <v>0</v>
      </c>
      <c r="G149" s="55">
        <f t="shared" si="76"/>
        <v>0</v>
      </c>
      <c r="H149" s="356">
        <f t="shared" si="77"/>
        <v>0</v>
      </c>
      <c r="I149" s="381">
        <f t="shared" si="78"/>
        <v>0</v>
      </c>
      <c r="J149" s="54">
        <f t="shared" si="79"/>
        <v>0</v>
      </c>
      <c r="K149" s="54"/>
      <c r="L149" s="115"/>
      <c r="M149" s="54">
        <f t="shared" si="75"/>
        <v>0</v>
      </c>
      <c r="N149" s="115"/>
      <c r="O149" s="54">
        <f t="shared" si="73"/>
        <v>0</v>
      </c>
      <c r="P149" s="54">
        <f t="shared" si="62"/>
        <v>0</v>
      </c>
    </row>
    <row r="150" spans="2:16" ht="12.5">
      <c r="B150" s="7" t="str">
        <f t="shared" si="80"/>
        <v/>
      </c>
      <c r="C150" s="50">
        <f>IF(D93="","-",+C149+1)</f>
        <v>2061</v>
      </c>
      <c r="D150" s="12">
        <f>IF(F149+SUM(E$101:E149)=D$92,F149,D$92-SUM(E$101:E149))</f>
        <v>0</v>
      </c>
      <c r="E150" s="355">
        <f t="shared" si="74"/>
        <v>0</v>
      </c>
      <c r="F150" s="55">
        <f t="shared" si="81"/>
        <v>0</v>
      </c>
      <c r="G150" s="55">
        <f t="shared" si="76"/>
        <v>0</v>
      </c>
      <c r="H150" s="356">
        <f t="shared" si="77"/>
        <v>0</v>
      </c>
      <c r="I150" s="381">
        <f t="shared" si="78"/>
        <v>0</v>
      </c>
      <c r="J150" s="54">
        <f t="shared" si="79"/>
        <v>0</v>
      </c>
      <c r="K150" s="54"/>
      <c r="L150" s="115"/>
      <c r="M150" s="54">
        <f t="shared" si="75"/>
        <v>0</v>
      </c>
      <c r="N150" s="115"/>
      <c r="O150" s="54">
        <f t="shared" si="73"/>
        <v>0</v>
      </c>
      <c r="P150" s="54">
        <f t="shared" si="62"/>
        <v>0</v>
      </c>
    </row>
    <row r="151" spans="2:16" ht="12.5">
      <c r="B151" s="7" t="str">
        <f t="shared" si="80"/>
        <v/>
      </c>
      <c r="C151" s="50">
        <f>IF(D93="","-",+C150+1)</f>
        <v>2062</v>
      </c>
      <c r="D151" s="12">
        <f>IF(F150+SUM(E$101:E150)=D$92,F150,D$92-SUM(E$101:E150))</f>
        <v>0</v>
      </c>
      <c r="E151" s="355">
        <f t="shared" si="74"/>
        <v>0</v>
      </c>
      <c r="F151" s="55">
        <f t="shared" si="81"/>
        <v>0</v>
      </c>
      <c r="G151" s="55">
        <f t="shared" si="76"/>
        <v>0</v>
      </c>
      <c r="H151" s="356">
        <f t="shared" si="77"/>
        <v>0</v>
      </c>
      <c r="I151" s="381">
        <f t="shared" si="78"/>
        <v>0</v>
      </c>
      <c r="J151" s="54">
        <f t="shared" si="79"/>
        <v>0</v>
      </c>
      <c r="K151" s="54"/>
      <c r="L151" s="115"/>
      <c r="M151" s="54">
        <f t="shared" si="75"/>
        <v>0</v>
      </c>
      <c r="N151" s="115"/>
      <c r="O151" s="54">
        <f t="shared" si="73"/>
        <v>0</v>
      </c>
      <c r="P151" s="54">
        <f t="shared" si="62"/>
        <v>0</v>
      </c>
    </row>
    <row r="152" spans="2:16" ht="12.5">
      <c r="B152" s="7" t="str">
        <f t="shared" si="80"/>
        <v/>
      </c>
      <c r="C152" s="50">
        <f>IF(D93="","-",+C151+1)</f>
        <v>2063</v>
      </c>
      <c r="D152" s="12">
        <f>IF(F151+SUM(E$101:E151)=D$92,F151,D$92-SUM(E$101:E151))</f>
        <v>0</v>
      </c>
      <c r="E152" s="355">
        <f t="shared" si="74"/>
        <v>0</v>
      </c>
      <c r="F152" s="55">
        <f t="shared" si="81"/>
        <v>0</v>
      </c>
      <c r="G152" s="55">
        <f t="shared" si="76"/>
        <v>0</v>
      </c>
      <c r="H152" s="356">
        <f t="shared" si="77"/>
        <v>0</v>
      </c>
      <c r="I152" s="381">
        <f t="shared" si="78"/>
        <v>0</v>
      </c>
      <c r="J152" s="54">
        <f t="shared" si="79"/>
        <v>0</v>
      </c>
      <c r="K152" s="54"/>
      <c r="L152" s="115"/>
      <c r="M152" s="54">
        <f t="shared" si="75"/>
        <v>0</v>
      </c>
      <c r="N152" s="115"/>
      <c r="O152" s="54">
        <f t="shared" si="73"/>
        <v>0</v>
      </c>
      <c r="P152" s="54">
        <f t="shared" si="62"/>
        <v>0</v>
      </c>
    </row>
    <row r="153" spans="2:16" ht="12.5">
      <c r="B153" s="7" t="str">
        <f t="shared" si="80"/>
        <v/>
      </c>
      <c r="C153" s="50">
        <f>IF(D93="","-",+C152+1)</f>
        <v>2064</v>
      </c>
      <c r="D153" s="12">
        <f>IF(F152+SUM(E$101:E152)=D$92,F152,D$92-SUM(E$101:E152))</f>
        <v>0</v>
      </c>
      <c r="E153" s="355">
        <f t="shared" si="74"/>
        <v>0</v>
      </c>
      <c r="F153" s="55">
        <f t="shared" si="81"/>
        <v>0</v>
      </c>
      <c r="G153" s="55">
        <f t="shared" si="76"/>
        <v>0</v>
      </c>
      <c r="H153" s="356">
        <f t="shared" si="77"/>
        <v>0</v>
      </c>
      <c r="I153" s="381">
        <f t="shared" si="78"/>
        <v>0</v>
      </c>
      <c r="J153" s="54">
        <f t="shared" si="79"/>
        <v>0</v>
      </c>
      <c r="K153" s="54"/>
      <c r="L153" s="115"/>
      <c r="M153" s="54">
        <f t="shared" si="75"/>
        <v>0</v>
      </c>
      <c r="N153" s="115"/>
      <c r="O153" s="54">
        <f t="shared" si="73"/>
        <v>0</v>
      </c>
      <c r="P153" s="54">
        <f t="shared" si="62"/>
        <v>0</v>
      </c>
    </row>
    <row r="154" spans="2:16" ht="13" thickBot="1">
      <c r="B154" s="7" t="str">
        <f t="shared" si="80"/>
        <v/>
      </c>
      <c r="C154" s="58">
        <f>IF(D93="","-",+C153+1)</f>
        <v>2065</v>
      </c>
      <c r="D154" s="82">
        <f>IF(F153+SUM(E$101:E153)=D$92,F153,D$92-SUM(E$101:E153))</f>
        <v>0</v>
      </c>
      <c r="E154" s="382">
        <f t="shared" si="74"/>
        <v>0</v>
      </c>
      <c r="F154" s="59">
        <f t="shared" si="81"/>
        <v>0</v>
      </c>
      <c r="G154" s="59">
        <f t="shared" si="76"/>
        <v>0</v>
      </c>
      <c r="H154" s="358">
        <f t="shared" si="77"/>
        <v>0</v>
      </c>
      <c r="I154" s="383">
        <f t="shared" si="78"/>
        <v>0</v>
      </c>
      <c r="J154" s="62">
        <f t="shared" si="79"/>
        <v>0</v>
      </c>
      <c r="K154" s="54"/>
      <c r="L154" s="116"/>
      <c r="M154" s="62">
        <f t="shared" si="75"/>
        <v>0</v>
      </c>
      <c r="N154" s="116"/>
      <c r="O154" s="54">
        <f t="shared" si="73"/>
        <v>0</v>
      </c>
      <c r="P154" s="54">
        <f t="shared" si="62"/>
        <v>0</v>
      </c>
    </row>
    <row r="155" spans="2:16" ht="12.5">
      <c r="C155" s="12" t="s">
        <v>77</v>
      </c>
      <c r="D155" s="267"/>
      <c r="E155" s="267">
        <f>SUM(E101:E154)</f>
        <v>22097</v>
      </c>
      <c r="F155" s="267"/>
      <c r="G155" s="267"/>
      <c r="H155" s="267">
        <f>SUM(H101:H154)</f>
        <v>81369.085604717766</v>
      </c>
      <c r="I155" s="267">
        <f>SUM(I101:I154)</f>
        <v>81369.085604717766</v>
      </c>
      <c r="J155" s="267">
        <f>SUM(J101:J154)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1" priority="3" stopIfTrue="1" operator="equal">
      <formula>$I$10</formula>
    </cfRule>
  </conditionalFormatting>
  <conditionalFormatting sqref="C100: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9"/>
  <dimension ref="A1:V162"/>
  <sheetViews>
    <sheetView topLeftCell="A136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14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100771.36842105263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100771.36842105263</v>
      </c>
      <c r="O6" s="1"/>
      <c r="P6" s="1"/>
    </row>
    <row r="7" spans="1:16" ht="13.5" thickBot="1">
      <c r="C7" s="26" t="s">
        <v>46</v>
      </c>
      <c r="D7" s="88" t="s">
        <v>242</v>
      </c>
      <c r="E7" s="426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241</v>
      </c>
      <c r="E9" s="404" t="s">
        <v>292</v>
      </c>
      <c r="F9" s="32"/>
      <c r="G9" s="452" t="s">
        <v>400</v>
      </c>
      <c r="H9" s="32"/>
      <c r="I9" s="33"/>
      <c r="J9" s="34"/>
      <c r="P9" s="1"/>
    </row>
    <row r="10" spans="1:16" ht="13">
      <c r="C10" s="128" t="s">
        <v>226</v>
      </c>
      <c r="D10" s="336">
        <v>1035552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27251.36842105263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7" t="s">
        <v>105</v>
      </c>
      <c r="O16" s="346" t="s">
        <v>105</v>
      </c>
      <c r="P16" s="1"/>
    </row>
    <row r="17" spans="2:16" ht="12.5">
      <c r="B17" s="7"/>
      <c r="C17" s="50">
        <f>IF(D11= "","-",D11)</f>
        <v>2013</v>
      </c>
      <c r="D17" s="408">
        <v>5562500</v>
      </c>
      <c r="E17" s="427">
        <v>89142.628205128203</v>
      </c>
      <c r="F17" s="408">
        <v>5473357.371794872</v>
      </c>
      <c r="G17" s="427">
        <v>870775.06277038739</v>
      </c>
      <c r="H17" s="428">
        <v>870775.06277038739</v>
      </c>
      <c r="I17" s="52">
        <v>0</v>
      </c>
      <c r="J17" s="63"/>
      <c r="K17" s="117">
        <f t="shared" ref="K17:K22" si="0">G17</f>
        <v>870775.06277038739</v>
      </c>
      <c r="L17" s="63">
        <f t="shared" ref="L17:L22" si="1">IF(K17&lt;&gt;0,+G17-K17,0)</f>
        <v>0</v>
      </c>
      <c r="M17" s="117">
        <f t="shared" ref="M17:M22" si="2">H17</f>
        <v>870775.06277038739</v>
      </c>
      <c r="N17" s="53">
        <f t="shared" ref="N17:N22" si="3">IF(M17&lt;&gt;0,+H17-M17,0)</f>
        <v>0</v>
      </c>
      <c r="O17" s="52">
        <f t="shared" ref="O17:O2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2014</v>
      </c>
      <c r="D18" s="413">
        <v>5473357</v>
      </c>
      <c r="E18" s="412">
        <v>19910</v>
      </c>
      <c r="F18" s="413">
        <v>5453447</v>
      </c>
      <c r="G18" s="412">
        <v>770625</v>
      </c>
      <c r="H18" s="414">
        <v>770625</v>
      </c>
      <c r="I18" s="52">
        <f>H18-G18</f>
        <v>0</v>
      </c>
      <c r="J18" s="63"/>
      <c r="K18" s="324">
        <f t="shared" si="0"/>
        <v>770625</v>
      </c>
      <c r="L18" s="63">
        <f t="shared" si="1"/>
        <v>0</v>
      </c>
      <c r="M18" s="324">
        <f t="shared" si="2"/>
        <v>770625</v>
      </c>
      <c r="N18" s="54">
        <f t="shared" si="3"/>
        <v>0</v>
      </c>
      <c r="O18" s="52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13">
        <v>5453447</v>
      </c>
      <c r="E19" s="412">
        <f t="shared" ref="E19:E72" si="5">IF(+$I$14&lt;F18,$I$14,D19)</f>
        <v>27251.36842105263</v>
      </c>
      <c r="F19" s="413">
        <v>5433533</v>
      </c>
      <c r="G19" s="412">
        <v>769045</v>
      </c>
      <c r="H19" s="414">
        <v>769045</v>
      </c>
      <c r="I19" s="52">
        <f t="shared" ref="I19:I72" si="6">H19-G19</f>
        <v>0</v>
      </c>
      <c r="J19" s="63"/>
      <c r="K19" s="324">
        <f t="shared" si="0"/>
        <v>769045</v>
      </c>
      <c r="L19" s="63">
        <f t="shared" si="1"/>
        <v>0</v>
      </c>
      <c r="M19" s="324">
        <f t="shared" si="2"/>
        <v>769045</v>
      </c>
      <c r="N19" s="54">
        <f t="shared" si="3"/>
        <v>0</v>
      </c>
      <c r="O19" s="52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2016</v>
      </c>
      <c r="D20" s="413">
        <v>906584.91025641025</v>
      </c>
      <c r="E20" s="412">
        <v>19914.461538461539</v>
      </c>
      <c r="F20" s="413">
        <v>886670.44871794875</v>
      </c>
      <c r="G20" s="412">
        <v>136209.46153846153</v>
      </c>
      <c r="H20" s="414">
        <v>136209.46153846153</v>
      </c>
      <c r="I20" s="52">
        <f t="shared" si="6"/>
        <v>0</v>
      </c>
      <c r="J20" s="63"/>
      <c r="K20" s="324">
        <f t="shared" si="0"/>
        <v>136209.46153846153</v>
      </c>
      <c r="L20" s="63">
        <f t="shared" si="1"/>
        <v>0</v>
      </c>
      <c r="M20" s="324">
        <f t="shared" si="2"/>
        <v>136209.46153846153</v>
      </c>
      <c r="N20" s="54">
        <f t="shared" si="3"/>
        <v>0</v>
      </c>
      <c r="O20" s="52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2017</v>
      </c>
      <c r="D21" s="413">
        <v>884072.91025641025</v>
      </c>
      <c r="E21" s="412">
        <v>22512</v>
      </c>
      <c r="F21" s="413">
        <v>861560.91025641025</v>
      </c>
      <c r="G21" s="412">
        <v>132155</v>
      </c>
      <c r="H21" s="414">
        <v>132155</v>
      </c>
      <c r="I21" s="52">
        <f t="shared" si="6"/>
        <v>0</v>
      </c>
      <c r="J21" s="63"/>
      <c r="K21" s="324">
        <f t="shared" si="0"/>
        <v>132155</v>
      </c>
      <c r="L21" s="63">
        <f t="shared" si="1"/>
        <v>0</v>
      </c>
      <c r="M21" s="324">
        <f t="shared" si="2"/>
        <v>132155</v>
      </c>
      <c r="N21" s="54">
        <f t="shared" si="3"/>
        <v>0</v>
      </c>
      <c r="O21" s="52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2018</v>
      </c>
      <c r="D22" s="413">
        <v>861060.64358974365</v>
      </c>
      <c r="E22" s="412">
        <v>23012.266666666666</v>
      </c>
      <c r="F22" s="413">
        <v>838048.37692307692</v>
      </c>
      <c r="G22" s="412">
        <v>124754.01488848326</v>
      </c>
      <c r="H22" s="414">
        <v>124754.01488848326</v>
      </c>
      <c r="I22" s="52">
        <f t="shared" si="6"/>
        <v>0</v>
      </c>
      <c r="J22" s="63"/>
      <c r="K22" s="324">
        <f t="shared" si="0"/>
        <v>124754.01488848326</v>
      </c>
      <c r="L22" s="63">
        <f t="shared" si="1"/>
        <v>0</v>
      </c>
      <c r="M22" s="324">
        <f t="shared" si="2"/>
        <v>124754.01488848326</v>
      </c>
      <c r="N22" s="54">
        <f t="shared" si="3"/>
        <v>0</v>
      </c>
      <c r="O22" s="52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2019</v>
      </c>
      <c r="D23" s="413">
        <v>835171.8435897436</v>
      </c>
      <c r="E23" s="412">
        <v>25888.799999999999</v>
      </c>
      <c r="F23" s="413">
        <v>809283.04358974355</v>
      </c>
      <c r="G23" s="412">
        <v>117695.9465116283</v>
      </c>
      <c r="H23" s="414">
        <v>117695.9465116283</v>
      </c>
      <c r="I23" s="52">
        <f t="shared" si="6"/>
        <v>0</v>
      </c>
      <c r="J23" s="52"/>
      <c r="K23" s="324">
        <f t="shared" ref="K23" si="8">G23</f>
        <v>117695.9465116283</v>
      </c>
      <c r="L23" s="63">
        <f t="shared" ref="L23" si="9">IF(K23&lt;&gt;0,+G23-K23,0)</f>
        <v>0</v>
      </c>
      <c r="M23" s="324">
        <f t="shared" ref="M23" si="10">H23</f>
        <v>117695.9465116283</v>
      </c>
      <c r="N23" s="54">
        <f t="shared" ref="N23:N72" si="11">IF(M23&lt;&gt;0,+H23-M23,0)</f>
        <v>0</v>
      </c>
      <c r="O23" s="54">
        <f t="shared" ref="O23:O72" si="12">+N23-L23</f>
        <v>0</v>
      </c>
      <c r="P23" s="1"/>
    </row>
    <row r="24" spans="2:16" ht="12.5">
      <c r="B24" s="7" t="str">
        <f t="shared" si="7"/>
        <v>IU</v>
      </c>
      <c r="C24" s="50">
        <f>IF(D11="","-",+C23+1)</f>
        <v>2020</v>
      </c>
      <c r="D24" s="413">
        <v>815036.1102564102</v>
      </c>
      <c r="E24" s="412">
        <v>24656</v>
      </c>
      <c r="F24" s="413">
        <v>790380.1102564102</v>
      </c>
      <c r="G24" s="412">
        <v>111352.31037205369</v>
      </c>
      <c r="H24" s="414">
        <v>111352.31037205369</v>
      </c>
      <c r="I24" s="52">
        <f t="shared" si="6"/>
        <v>0</v>
      </c>
      <c r="J24" s="52"/>
      <c r="K24" s="324">
        <f t="shared" ref="K24" si="13">G24</f>
        <v>111352.31037205369</v>
      </c>
      <c r="L24" s="63">
        <f t="shared" ref="L24" si="14">IF(K24&lt;&gt;0,+G24-K24,0)</f>
        <v>0</v>
      </c>
      <c r="M24" s="324">
        <f t="shared" ref="M24" si="15">H24</f>
        <v>111352.31037205369</v>
      </c>
      <c r="N24" s="54">
        <f t="shared" si="11"/>
        <v>0</v>
      </c>
      <c r="O24" s="54">
        <f t="shared" si="12"/>
        <v>0</v>
      </c>
      <c r="P24" s="1"/>
    </row>
    <row r="25" spans="2:16" ht="12.5">
      <c r="B25" s="7" t="str">
        <f t="shared" si="7"/>
        <v>IU</v>
      </c>
      <c r="C25" s="50">
        <f>IF(D11="","-",+C24+1)</f>
        <v>2021</v>
      </c>
      <c r="D25" s="413">
        <v>786433.23893858085</v>
      </c>
      <c r="E25" s="412">
        <v>24082.60465116279</v>
      </c>
      <c r="F25" s="413">
        <v>762350.6342874181</v>
      </c>
      <c r="G25" s="412">
        <v>106280.60465116279</v>
      </c>
      <c r="H25" s="414">
        <v>106280.60465116279</v>
      </c>
      <c r="I25" s="52">
        <f t="shared" si="6"/>
        <v>0</v>
      </c>
      <c r="J25" s="52"/>
      <c r="K25" s="324">
        <f t="shared" ref="K25" si="16">G25</f>
        <v>106280.60465116279</v>
      </c>
      <c r="L25" s="63">
        <f t="shared" ref="L25" si="17">IF(K25&lt;&gt;0,+G25-K25,0)</f>
        <v>0</v>
      </c>
      <c r="M25" s="324">
        <f t="shared" ref="M25" si="18">H25</f>
        <v>106280.60465116279</v>
      </c>
      <c r="N25" s="54">
        <f t="shared" si="11"/>
        <v>0</v>
      </c>
      <c r="O25" s="54">
        <f t="shared" si="12"/>
        <v>0</v>
      </c>
      <c r="P25" s="1"/>
    </row>
    <row r="26" spans="2:16" ht="12.5">
      <c r="B26" s="7" t="str">
        <f t="shared" si="7"/>
        <v>IU</v>
      </c>
      <c r="C26" s="50">
        <f>IF(D11="","-",+C25+1)</f>
        <v>2022</v>
      </c>
      <c r="D26" s="413">
        <v>761777.23893858085</v>
      </c>
      <c r="E26" s="412">
        <v>24656</v>
      </c>
      <c r="F26" s="413">
        <v>737121.23893858085</v>
      </c>
      <c r="G26" s="412">
        <v>104126</v>
      </c>
      <c r="H26" s="414">
        <v>104126</v>
      </c>
      <c r="I26" s="52">
        <f t="shared" si="6"/>
        <v>0</v>
      </c>
      <c r="J26" s="52"/>
      <c r="K26" s="324">
        <f t="shared" ref="K26" si="19">G26</f>
        <v>104126</v>
      </c>
      <c r="L26" s="63">
        <f t="shared" ref="L26" si="20">IF(K26&lt;&gt;0,+G26-K26,0)</f>
        <v>0</v>
      </c>
      <c r="M26" s="324">
        <f t="shared" ref="M26" si="21">H26</f>
        <v>104126</v>
      </c>
      <c r="N26" s="54">
        <f t="shared" si="11"/>
        <v>0</v>
      </c>
      <c r="O26" s="54">
        <f t="shared" si="12"/>
        <v>0</v>
      </c>
      <c r="P26" s="1"/>
    </row>
    <row r="27" spans="2:16" ht="12.5">
      <c r="B27" s="7" t="str">
        <f t="shared" si="7"/>
        <v>IU</v>
      </c>
      <c r="C27" s="50">
        <f>IF(D11="","-",+C26+1)</f>
        <v>2023</v>
      </c>
      <c r="D27" s="413">
        <v>735224.62355396547</v>
      </c>
      <c r="E27" s="412">
        <v>26552.615384615383</v>
      </c>
      <c r="F27" s="413">
        <v>708672.0081693501</v>
      </c>
      <c r="G27" s="412">
        <v>111138.61538461538</v>
      </c>
      <c r="H27" s="414">
        <v>111138.61538461538</v>
      </c>
      <c r="I27" s="52">
        <f t="shared" si="6"/>
        <v>0</v>
      </c>
      <c r="J27" s="52"/>
      <c r="K27" s="324">
        <f t="shared" ref="K27" si="22">G27</f>
        <v>111138.61538461538</v>
      </c>
      <c r="L27" s="63">
        <f t="shared" ref="L27" si="23">IF(K27&lt;&gt;0,+G27-K27,0)</f>
        <v>0</v>
      </c>
      <c r="M27" s="324">
        <f t="shared" ref="M27" si="24">H27</f>
        <v>111138.61538461538</v>
      </c>
      <c r="N27" s="54">
        <f t="shared" ref="N27" si="25">IF(M27&lt;&gt;0,+H27-M27,0)</f>
        <v>0</v>
      </c>
      <c r="O27" s="54">
        <f t="shared" ref="O27" si="26">+N27-L27</f>
        <v>0</v>
      </c>
      <c r="P27" s="1"/>
    </row>
    <row r="28" spans="2:16" ht="12.5">
      <c r="B28" s="7" t="str">
        <f t="shared" si="7"/>
        <v>IU</v>
      </c>
      <c r="C28" s="450">
        <f>IF(D11="","-",+C27+1)</f>
        <v>2024</v>
      </c>
      <c r="D28" s="413">
        <v>707973.25513291289</v>
      </c>
      <c r="E28" s="412">
        <v>27251.36842105263</v>
      </c>
      <c r="F28" s="413">
        <v>680721.88671186031</v>
      </c>
      <c r="G28" s="412">
        <v>104676.36842105263</v>
      </c>
      <c r="H28" s="414">
        <v>104676.36842105263</v>
      </c>
      <c r="I28" s="52">
        <f t="shared" si="6"/>
        <v>0</v>
      </c>
      <c r="J28" s="52"/>
      <c r="K28" s="324">
        <f t="shared" ref="K28" si="27">G28</f>
        <v>104676.36842105263</v>
      </c>
      <c r="L28" s="63">
        <f t="shared" ref="L28" si="28">IF(K28&lt;&gt;0,+G28-K28,0)</f>
        <v>0</v>
      </c>
      <c r="M28" s="324">
        <f t="shared" ref="M28" si="29">H28</f>
        <v>104676.36842105263</v>
      </c>
      <c r="N28" s="54">
        <f t="shared" ref="N28" si="30">IF(M28&lt;&gt;0,+H28-M28,0)</f>
        <v>0</v>
      </c>
      <c r="O28" s="54">
        <f t="shared" ref="O28" si="31">+N28-L28</f>
        <v>0</v>
      </c>
      <c r="P28" s="1"/>
    </row>
    <row r="29" spans="2:16" ht="13">
      <c r="B29" s="7" t="str">
        <f t="shared" si="7"/>
        <v/>
      </c>
      <c r="C29" s="449">
        <f>IF(D11="","-",+C28+1)</f>
        <v>2025</v>
      </c>
      <c r="D29" s="413">
        <v>680721.88671186031</v>
      </c>
      <c r="E29" s="412">
        <v>27251.36842105263</v>
      </c>
      <c r="F29" s="413">
        <v>653470.51829080773</v>
      </c>
      <c r="G29" s="412">
        <v>101489.36842105263</v>
      </c>
      <c r="H29" s="414">
        <v>101489.36842105263</v>
      </c>
      <c r="I29" s="52">
        <f t="shared" si="6"/>
        <v>0</v>
      </c>
      <c r="J29" s="52"/>
      <c r="K29" s="324">
        <f t="shared" ref="K29" si="32">G29</f>
        <v>101489.36842105263</v>
      </c>
      <c r="L29" s="63">
        <f t="shared" ref="L29" si="33">IF(K29&lt;&gt;0,+G29-K29,0)</f>
        <v>0</v>
      </c>
      <c r="M29" s="324">
        <f t="shared" ref="M29" si="34">H29</f>
        <v>101489.36842105263</v>
      </c>
      <c r="N29" s="54">
        <f t="shared" ref="N29" si="35">IF(M29&lt;&gt;0,+H29-M29,0)</f>
        <v>0</v>
      </c>
      <c r="O29" s="54">
        <f t="shared" ref="O29" si="36">+N29-L29</f>
        <v>0</v>
      </c>
      <c r="P29" s="1"/>
    </row>
    <row r="30" spans="2:16" ht="12.5">
      <c r="B30" s="7" t="str">
        <f t="shared" si="7"/>
        <v/>
      </c>
      <c r="C30" s="50">
        <f>IF(D11="","-",+C29+1)</f>
        <v>2026</v>
      </c>
      <c r="D30" s="55">
        <f>IF(F29+SUM(E$17:E29)=D$10,F29,D$10-SUM(E$17:E29))</f>
        <v>653470.51829080773</v>
      </c>
      <c r="E30" s="354">
        <f t="shared" si="5"/>
        <v>27251.36842105263</v>
      </c>
      <c r="F30" s="55">
        <f t="shared" ref="F30:F72" si="37">+D30-E30</f>
        <v>626219.14986975514</v>
      </c>
      <c r="G30" s="355">
        <f t="shared" ref="G30:G72" si="38">ROUND(I$12*F30,0)+E30</f>
        <v>100771.36842105263</v>
      </c>
      <c r="H30" s="337">
        <f t="shared" ref="H30:H72" si="39">ROUND(I$13*F30,0)+E30</f>
        <v>100771.36842105263</v>
      </c>
      <c r="I30" s="52">
        <f t="shared" si="6"/>
        <v>0</v>
      </c>
      <c r="J30" s="52"/>
      <c r="K30" s="115"/>
      <c r="L30" s="54">
        <f t="shared" ref="L30:L72" si="40">IF(K30&lt;&gt;0,+G30-K30,0)</f>
        <v>0</v>
      </c>
      <c r="M30" s="115"/>
      <c r="N30" s="54">
        <f t="shared" si="11"/>
        <v>0</v>
      </c>
      <c r="O30" s="54">
        <f t="shared" si="12"/>
        <v>0</v>
      </c>
      <c r="P30" s="1"/>
    </row>
    <row r="31" spans="2:16" ht="12.5">
      <c r="B31" s="7" t="str">
        <f t="shared" si="7"/>
        <v/>
      </c>
      <c r="C31" s="50">
        <f>IF(D11="","-",+C30+1)</f>
        <v>2027</v>
      </c>
      <c r="D31" s="55">
        <f>IF(F30+SUM(E$17:E30)=D$10,F30,D$10-SUM(E$17:E30))</f>
        <v>626219.14986975514</v>
      </c>
      <c r="E31" s="354">
        <f t="shared" si="5"/>
        <v>27251.36842105263</v>
      </c>
      <c r="F31" s="55">
        <f t="shared" si="37"/>
        <v>598967.78144870256</v>
      </c>
      <c r="G31" s="355">
        <f t="shared" si="38"/>
        <v>97571.368421052626</v>
      </c>
      <c r="H31" s="337">
        <f t="shared" si="39"/>
        <v>97571.368421052626</v>
      </c>
      <c r="I31" s="52">
        <f t="shared" si="6"/>
        <v>0</v>
      </c>
      <c r="J31" s="52"/>
      <c r="K31" s="115"/>
      <c r="L31" s="54">
        <f t="shared" si="40"/>
        <v>0</v>
      </c>
      <c r="M31" s="115"/>
      <c r="N31" s="54">
        <f t="shared" si="11"/>
        <v>0</v>
      </c>
      <c r="O31" s="54">
        <f t="shared" si="12"/>
        <v>0</v>
      </c>
      <c r="P31" s="1"/>
    </row>
    <row r="32" spans="2:16" ht="12.5">
      <c r="B32" s="7" t="str">
        <f t="shared" si="7"/>
        <v/>
      </c>
      <c r="C32" s="50">
        <f>IF(D11="","-",+C31+1)</f>
        <v>2028</v>
      </c>
      <c r="D32" s="55">
        <f>IF(F31+SUM(E$17:E31)=D$10,F31,D$10-SUM(E$17:E31))</f>
        <v>598967.78144870256</v>
      </c>
      <c r="E32" s="354">
        <f t="shared" si="5"/>
        <v>27251.36842105263</v>
      </c>
      <c r="F32" s="55">
        <f t="shared" si="37"/>
        <v>571716.41302764998</v>
      </c>
      <c r="G32" s="355">
        <f t="shared" si="38"/>
        <v>94372.368421052626</v>
      </c>
      <c r="H32" s="337">
        <f t="shared" si="39"/>
        <v>94372.368421052626</v>
      </c>
      <c r="I32" s="52">
        <f t="shared" si="6"/>
        <v>0</v>
      </c>
      <c r="J32" s="52"/>
      <c r="K32" s="115"/>
      <c r="L32" s="54">
        <f t="shared" si="40"/>
        <v>0</v>
      </c>
      <c r="M32" s="115"/>
      <c r="N32" s="54">
        <f t="shared" si="11"/>
        <v>0</v>
      </c>
      <c r="O32" s="54">
        <f t="shared" si="12"/>
        <v>0</v>
      </c>
      <c r="P32" s="1"/>
    </row>
    <row r="33" spans="2:16" ht="12.5">
      <c r="B33" s="7" t="str">
        <f t="shared" si="7"/>
        <v/>
      </c>
      <c r="C33" s="50">
        <f>IF(D11="","-",+C32+1)</f>
        <v>2029</v>
      </c>
      <c r="D33" s="55">
        <f>IF(F32+SUM(E$17:E32)=D$10,F32,D$10-SUM(E$17:E32))</f>
        <v>571716.41302764998</v>
      </c>
      <c r="E33" s="354">
        <f t="shared" si="5"/>
        <v>27251.36842105263</v>
      </c>
      <c r="F33" s="55">
        <f t="shared" si="37"/>
        <v>544465.0446065974</v>
      </c>
      <c r="G33" s="355">
        <f t="shared" si="38"/>
        <v>91173.368421052626</v>
      </c>
      <c r="H33" s="337">
        <f t="shared" si="39"/>
        <v>91173.368421052626</v>
      </c>
      <c r="I33" s="52">
        <f t="shared" si="6"/>
        <v>0</v>
      </c>
      <c r="J33" s="52"/>
      <c r="K33" s="115"/>
      <c r="L33" s="54">
        <f t="shared" si="40"/>
        <v>0</v>
      </c>
      <c r="M33" s="115"/>
      <c r="N33" s="54">
        <f t="shared" si="11"/>
        <v>0</v>
      </c>
      <c r="O33" s="54">
        <f t="shared" si="12"/>
        <v>0</v>
      </c>
      <c r="P33" s="1"/>
    </row>
    <row r="34" spans="2:16" ht="12.5">
      <c r="B34" s="7" t="str">
        <f t="shared" si="7"/>
        <v/>
      </c>
      <c r="C34" s="50">
        <f>IF(D11="","-",+C33+1)</f>
        <v>2030</v>
      </c>
      <c r="D34" s="55">
        <f>IF(F33+SUM(E$17:E33)=D$10,F33,D$10-SUM(E$17:E33))</f>
        <v>544465.0446065974</v>
      </c>
      <c r="E34" s="354">
        <f t="shared" si="5"/>
        <v>27251.36842105263</v>
      </c>
      <c r="F34" s="55">
        <f t="shared" si="37"/>
        <v>517213.67618554475</v>
      </c>
      <c r="G34" s="355">
        <f t="shared" si="38"/>
        <v>87973.368421052626</v>
      </c>
      <c r="H34" s="337">
        <f t="shared" si="39"/>
        <v>87973.368421052626</v>
      </c>
      <c r="I34" s="52">
        <f t="shared" si="6"/>
        <v>0</v>
      </c>
      <c r="J34" s="52"/>
      <c r="K34" s="115"/>
      <c r="L34" s="54">
        <f t="shared" si="40"/>
        <v>0</v>
      </c>
      <c r="M34" s="115"/>
      <c r="N34" s="54">
        <f t="shared" si="11"/>
        <v>0</v>
      </c>
      <c r="O34" s="54">
        <f t="shared" si="12"/>
        <v>0</v>
      </c>
      <c r="P34" s="1"/>
    </row>
    <row r="35" spans="2:16" ht="12.5">
      <c r="B35" s="7" t="str">
        <f t="shared" si="7"/>
        <v/>
      </c>
      <c r="C35" s="50">
        <f>IF(D11="","-",+C34+1)</f>
        <v>2031</v>
      </c>
      <c r="D35" s="55">
        <f>IF(F34+SUM(E$17:E34)=D$10,F34,D$10-SUM(E$17:E34))</f>
        <v>517213.67618554475</v>
      </c>
      <c r="E35" s="354">
        <f t="shared" si="5"/>
        <v>27251.36842105263</v>
      </c>
      <c r="F35" s="55">
        <f t="shared" si="37"/>
        <v>489962.30776449211</v>
      </c>
      <c r="G35" s="355">
        <f t="shared" si="38"/>
        <v>84774.368421052626</v>
      </c>
      <c r="H35" s="337">
        <f t="shared" si="39"/>
        <v>84774.368421052626</v>
      </c>
      <c r="I35" s="52">
        <f t="shared" si="6"/>
        <v>0</v>
      </c>
      <c r="J35" s="52"/>
      <c r="K35" s="115"/>
      <c r="L35" s="54">
        <f t="shared" si="40"/>
        <v>0</v>
      </c>
      <c r="M35" s="115"/>
      <c r="N35" s="54">
        <f t="shared" si="11"/>
        <v>0</v>
      </c>
      <c r="O35" s="54">
        <f t="shared" si="12"/>
        <v>0</v>
      </c>
      <c r="P35" s="1"/>
    </row>
    <row r="36" spans="2:16" ht="12.5">
      <c r="B36" s="7" t="str">
        <f t="shared" si="7"/>
        <v/>
      </c>
      <c r="C36" s="50">
        <f>IF(D11="","-",+C35+1)</f>
        <v>2032</v>
      </c>
      <c r="D36" s="55">
        <f>IF(F35+SUM(E$17:E35)=D$10,F35,D$10-SUM(E$17:E35))</f>
        <v>489962.30776449211</v>
      </c>
      <c r="E36" s="354">
        <f t="shared" si="5"/>
        <v>27251.36842105263</v>
      </c>
      <c r="F36" s="55">
        <f t="shared" si="37"/>
        <v>462710.93934343947</v>
      </c>
      <c r="G36" s="355">
        <f t="shared" si="38"/>
        <v>81575.368421052626</v>
      </c>
      <c r="H36" s="337">
        <f t="shared" si="39"/>
        <v>81575.368421052626</v>
      </c>
      <c r="I36" s="52">
        <f t="shared" si="6"/>
        <v>0</v>
      </c>
      <c r="J36" s="52"/>
      <c r="K36" s="115"/>
      <c r="L36" s="54">
        <f t="shared" si="40"/>
        <v>0</v>
      </c>
      <c r="M36" s="115"/>
      <c r="N36" s="54">
        <f t="shared" si="11"/>
        <v>0</v>
      </c>
      <c r="O36" s="54">
        <f t="shared" si="12"/>
        <v>0</v>
      </c>
      <c r="P36" s="1"/>
    </row>
    <row r="37" spans="2:16" ht="12.5">
      <c r="B37" s="7" t="str">
        <f t="shared" si="7"/>
        <v/>
      </c>
      <c r="C37" s="50">
        <f>IF(D11="","-",+C36+1)</f>
        <v>2033</v>
      </c>
      <c r="D37" s="55">
        <f>IF(F36+SUM(E$17:E36)=D$10,F36,D$10-SUM(E$17:E36))</f>
        <v>462710.93934343947</v>
      </c>
      <c r="E37" s="354">
        <f t="shared" si="5"/>
        <v>27251.36842105263</v>
      </c>
      <c r="F37" s="55">
        <f t="shared" si="37"/>
        <v>435459.57092238683</v>
      </c>
      <c r="G37" s="355">
        <f t="shared" si="38"/>
        <v>78375.368421052626</v>
      </c>
      <c r="H37" s="337">
        <f t="shared" si="39"/>
        <v>78375.368421052626</v>
      </c>
      <c r="I37" s="52">
        <f t="shared" si="6"/>
        <v>0</v>
      </c>
      <c r="J37" s="52"/>
      <c r="K37" s="115"/>
      <c r="L37" s="54">
        <f t="shared" si="40"/>
        <v>0</v>
      </c>
      <c r="M37" s="115"/>
      <c r="N37" s="54">
        <f t="shared" si="11"/>
        <v>0</v>
      </c>
      <c r="O37" s="54">
        <f t="shared" si="12"/>
        <v>0</v>
      </c>
      <c r="P37" s="1"/>
    </row>
    <row r="38" spans="2:16" ht="12.5">
      <c r="B38" s="7" t="str">
        <f t="shared" si="7"/>
        <v/>
      </c>
      <c r="C38" s="50">
        <f>IF(D11="","-",+C37+1)</f>
        <v>2034</v>
      </c>
      <c r="D38" s="55">
        <f>IF(F37+SUM(E$17:E37)=D$10,F37,D$10-SUM(E$17:E37))</f>
        <v>435459.57092238683</v>
      </c>
      <c r="E38" s="354">
        <f t="shared" si="5"/>
        <v>27251.36842105263</v>
      </c>
      <c r="F38" s="55">
        <f t="shared" si="37"/>
        <v>408208.20250133419</v>
      </c>
      <c r="G38" s="355">
        <f t="shared" si="38"/>
        <v>75176.368421052626</v>
      </c>
      <c r="H38" s="337">
        <f t="shared" si="39"/>
        <v>75176.368421052626</v>
      </c>
      <c r="I38" s="52">
        <f t="shared" si="6"/>
        <v>0</v>
      </c>
      <c r="J38" s="52"/>
      <c r="K38" s="115"/>
      <c r="L38" s="54">
        <f t="shared" si="40"/>
        <v>0</v>
      </c>
      <c r="M38" s="115"/>
      <c r="N38" s="54">
        <f t="shared" si="11"/>
        <v>0</v>
      </c>
      <c r="O38" s="54">
        <f t="shared" si="12"/>
        <v>0</v>
      </c>
      <c r="P38" s="1"/>
    </row>
    <row r="39" spans="2:16" ht="12.5">
      <c r="B39" s="7" t="str">
        <f t="shared" si="7"/>
        <v/>
      </c>
      <c r="C39" s="50">
        <f>IF(D11="","-",+C38+1)</f>
        <v>2035</v>
      </c>
      <c r="D39" s="55">
        <f>IF(F38+SUM(E$17:E38)=D$10,F38,D$10-SUM(E$17:E38))</f>
        <v>408208.20250133419</v>
      </c>
      <c r="E39" s="354">
        <f t="shared" si="5"/>
        <v>27251.36842105263</v>
      </c>
      <c r="F39" s="55">
        <f t="shared" si="37"/>
        <v>380956.83408028155</v>
      </c>
      <c r="G39" s="355">
        <f t="shared" si="38"/>
        <v>71976.368421052626</v>
      </c>
      <c r="H39" s="337">
        <f t="shared" si="39"/>
        <v>71976.368421052626</v>
      </c>
      <c r="I39" s="52">
        <f t="shared" si="6"/>
        <v>0</v>
      </c>
      <c r="J39" s="52"/>
      <c r="K39" s="115"/>
      <c r="L39" s="54">
        <f t="shared" si="40"/>
        <v>0</v>
      </c>
      <c r="M39" s="115"/>
      <c r="N39" s="54">
        <f t="shared" si="11"/>
        <v>0</v>
      </c>
      <c r="O39" s="54">
        <f t="shared" si="12"/>
        <v>0</v>
      </c>
      <c r="P39" s="1"/>
    </row>
    <row r="40" spans="2:16" ht="12.5">
      <c r="B40" s="7" t="str">
        <f t="shared" si="7"/>
        <v/>
      </c>
      <c r="C40" s="50">
        <f>IF(D11="","-",+C39+1)</f>
        <v>2036</v>
      </c>
      <c r="D40" s="55">
        <f>IF(F39+SUM(E$17:E39)=D$10,F39,D$10-SUM(E$17:E39))</f>
        <v>380956.83408028155</v>
      </c>
      <c r="E40" s="354">
        <f t="shared" si="5"/>
        <v>27251.36842105263</v>
      </c>
      <c r="F40" s="55">
        <f t="shared" si="37"/>
        <v>353705.46565922891</v>
      </c>
      <c r="G40" s="355">
        <f t="shared" si="38"/>
        <v>68777.368421052626</v>
      </c>
      <c r="H40" s="337">
        <f t="shared" si="39"/>
        <v>68777.368421052626</v>
      </c>
      <c r="I40" s="52">
        <f t="shared" si="6"/>
        <v>0</v>
      </c>
      <c r="J40" s="52"/>
      <c r="K40" s="115"/>
      <c r="L40" s="54">
        <f t="shared" si="40"/>
        <v>0</v>
      </c>
      <c r="M40" s="115"/>
      <c r="N40" s="54">
        <f t="shared" si="11"/>
        <v>0</v>
      </c>
      <c r="O40" s="54">
        <f t="shared" si="12"/>
        <v>0</v>
      </c>
      <c r="P40" s="1"/>
    </row>
    <row r="41" spans="2:16" ht="12.5">
      <c r="B41" s="7" t="str">
        <f t="shared" si="7"/>
        <v/>
      </c>
      <c r="C41" s="50">
        <f>IF(D11="","-",+C40+1)</f>
        <v>2037</v>
      </c>
      <c r="D41" s="55">
        <f>IF(F40+SUM(E$17:E40)=D$10,F40,D$10-SUM(E$17:E40))</f>
        <v>353705.46565922891</v>
      </c>
      <c r="E41" s="354">
        <f t="shared" si="5"/>
        <v>27251.36842105263</v>
      </c>
      <c r="F41" s="55">
        <f t="shared" si="37"/>
        <v>326454.09723817627</v>
      </c>
      <c r="G41" s="355">
        <f t="shared" si="38"/>
        <v>65578.368421052626</v>
      </c>
      <c r="H41" s="337">
        <f t="shared" si="39"/>
        <v>65578.368421052626</v>
      </c>
      <c r="I41" s="52">
        <f t="shared" si="6"/>
        <v>0</v>
      </c>
      <c r="J41" s="52"/>
      <c r="K41" s="115"/>
      <c r="L41" s="54">
        <f t="shared" si="40"/>
        <v>0</v>
      </c>
      <c r="M41" s="115"/>
      <c r="N41" s="54">
        <f t="shared" si="11"/>
        <v>0</v>
      </c>
      <c r="O41" s="54">
        <f t="shared" si="12"/>
        <v>0</v>
      </c>
      <c r="P41" s="1"/>
    </row>
    <row r="42" spans="2:16" ht="12.5">
      <c r="B42" s="7" t="str">
        <f t="shared" si="7"/>
        <v/>
      </c>
      <c r="C42" s="50">
        <f>IF(D11="","-",+C41+1)</f>
        <v>2038</v>
      </c>
      <c r="D42" s="55">
        <f>IF(F41+SUM(E$17:E41)=D$10,F41,D$10-SUM(E$17:E41))</f>
        <v>326454.09723817627</v>
      </c>
      <c r="E42" s="354">
        <f t="shared" si="5"/>
        <v>27251.36842105263</v>
      </c>
      <c r="F42" s="55">
        <f t="shared" si="37"/>
        <v>299202.72881712363</v>
      </c>
      <c r="G42" s="355">
        <f t="shared" si="38"/>
        <v>62378.368421052626</v>
      </c>
      <c r="H42" s="337">
        <f t="shared" si="39"/>
        <v>62378.368421052626</v>
      </c>
      <c r="I42" s="52">
        <f t="shared" si="6"/>
        <v>0</v>
      </c>
      <c r="J42" s="52"/>
      <c r="K42" s="115"/>
      <c r="L42" s="54">
        <f t="shared" si="40"/>
        <v>0</v>
      </c>
      <c r="M42" s="115"/>
      <c r="N42" s="54">
        <f t="shared" si="11"/>
        <v>0</v>
      </c>
      <c r="O42" s="54">
        <f t="shared" si="12"/>
        <v>0</v>
      </c>
      <c r="P42" s="1"/>
    </row>
    <row r="43" spans="2:16" ht="12.5">
      <c r="B43" s="7" t="str">
        <f t="shared" si="7"/>
        <v/>
      </c>
      <c r="C43" s="50">
        <f>IF(D11="","-",+C42+1)</f>
        <v>2039</v>
      </c>
      <c r="D43" s="55">
        <f>IF(F42+SUM(E$17:E42)=D$10,F42,D$10-SUM(E$17:E42))</f>
        <v>299202.72881712363</v>
      </c>
      <c r="E43" s="354">
        <f t="shared" si="5"/>
        <v>27251.36842105263</v>
      </c>
      <c r="F43" s="55">
        <f t="shared" si="37"/>
        <v>271951.36039607099</v>
      </c>
      <c r="G43" s="355">
        <f t="shared" si="38"/>
        <v>59179.368421052626</v>
      </c>
      <c r="H43" s="337">
        <f t="shared" si="39"/>
        <v>59179.368421052626</v>
      </c>
      <c r="I43" s="52">
        <f t="shared" si="6"/>
        <v>0</v>
      </c>
      <c r="J43" s="52"/>
      <c r="K43" s="115"/>
      <c r="L43" s="54">
        <f t="shared" si="40"/>
        <v>0</v>
      </c>
      <c r="M43" s="115"/>
      <c r="N43" s="54">
        <f t="shared" si="11"/>
        <v>0</v>
      </c>
      <c r="O43" s="54">
        <f t="shared" si="12"/>
        <v>0</v>
      </c>
      <c r="P43" s="1"/>
    </row>
    <row r="44" spans="2:16" ht="12.5">
      <c r="B44" s="7" t="str">
        <f t="shared" si="7"/>
        <v/>
      </c>
      <c r="C44" s="50">
        <f>IF(D11="","-",+C43+1)</f>
        <v>2040</v>
      </c>
      <c r="D44" s="55">
        <f>IF(F43+SUM(E$17:E43)=D$10,F43,D$10-SUM(E$17:E43))</f>
        <v>271951.36039607099</v>
      </c>
      <c r="E44" s="354">
        <f t="shared" si="5"/>
        <v>27251.36842105263</v>
      </c>
      <c r="F44" s="55">
        <f t="shared" si="37"/>
        <v>244699.99197501835</v>
      </c>
      <c r="G44" s="355">
        <f t="shared" si="38"/>
        <v>55979.368421052626</v>
      </c>
      <c r="H44" s="337">
        <f t="shared" si="39"/>
        <v>55979.368421052626</v>
      </c>
      <c r="I44" s="52">
        <f t="shared" si="6"/>
        <v>0</v>
      </c>
      <c r="J44" s="52"/>
      <c r="K44" s="115"/>
      <c r="L44" s="54">
        <f t="shared" si="40"/>
        <v>0</v>
      </c>
      <c r="M44" s="115"/>
      <c r="N44" s="54">
        <f t="shared" si="11"/>
        <v>0</v>
      </c>
      <c r="O44" s="54">
        <f t="shared" si="12"/>
        <v>0</v>
      </c>
      <c r="P44" s="1"/>
    </row>
    <row r="45" spans="2:16" ht="12.5">
      <c r="B45" s="7" t="str">
        <f t="shared" si="7"/>
        <v/>
      </c>
      <c r="C45" s="50">
        <f>IF(D11="","-",+C44+1)</f>
        <v>2041</v>
      </c>
      <c r="D45" s="55">
        <f>IF(F44+SUM(E$17:E44)=D$10,F44,D$10-SUM(E$17:E44))</f>
        <v>244699.99197501835</v>
      </c>
      <c r="E45" s="354">
        <f t="shared" si="5"/>
        <v>27251.36842105263</v>
      </c>
      <c r="F45" s="55">
        <f t="shared" si="37"/>
        <v>217448.62355396571</v>
      </c>
      <c r="G45" s="355">
        <f t="shared" si="38"/>
        <v>52780.368421052626</v>
      </c>
      <c r="H45" s="337">
        <f t="shared" si="39"/>
        <v>52780.368421052626</v>
      </c>
      <c r="I45" s="52">
        <f t="shared" si="6"/>
        <v>0</v>
      </c>
      <c r="J45" s="52"/>
      <c r="K45" s="115"/>
      <c r="L45" s="54">
        <f t="shared" si="40"/>
        <v>0</v>
      </c>
      <c r="M45" s="115"/>
      <c r="N45" s="54">
        <f t="shared" si="11"/>
        <v>0</v>
      </c>
      <c r="O45" s="54">
        <f t="shared" si="12"/>
        <v>0</v>
      </c>
      <c r="P45" s="1"/>
    </row>
    <row r="46" spans="2:16" ht="12.5">
      <c r="B46" s="7" t="str">
        <f t="shared" si="7"/>
        <v/>
      </c>
      <c r="C46" s="50">
        <f>IF(D11="","-",+C45+1)</f>
        <v>2042</v>
      </c>
      <c r="D46" s="55">
        <f>IF(F45+SUM(E$17:E45)=D$10,F45,D$10-SUM(E$17:E45))</f>
        <v>217448.62355396571</v>
      </c>
      <c r="E46" s="354">
        <f t="shared" si="5"/>
        <v>27251.36842105263</v>
      </c>
      <c r="F46" s="55">
        <f t="shared" si="37"/>
        <v>190197.25513291307</v>
      </c>
      <c r="G46" s="355">
        <f t="shared" si="38"/>
        <v>49581.368421052626</v>
      </c>
      <c r="H46" s="337">
        <f t="shared" si="39"/>
        <v>49581.368421052626</v>
      </c>
      <c r="I46" s="52">
        <f t="shared" si="6"/>
        <v>0</v>
      </c>
      <c r="J46" s="52"/>
      <c r="K46" s="115"/>
      <c r="L46" s="54">
        <f t="shared" si="40"/>
        <v>0</v>
      </c>
      <c r="M46" s="115"/>
      <c r="N46" s="54">
        <f t="shared" si="11"/>
        <v>0</v>
      </c>
      <c r="O46" s="54">
        <f t="shared" si="12"/>
        <v>0</v>
      </c>
      <c r="P46" s="1"/>
    </row>
    <row r="47" spans="2:16" ht="12.5">
      <c r="B47" s="7" t="str">
        <f t="shared" si="7"/>
        <v/>
      </c>
      <c r="C47" s="50">
        <f>IF(D11="","-",+C46+1)</f>
        <v>2043</v>
      </c>
      <c r="D47" s="55">
        <f>IF(F46+SUM(E$17:E46)=D$10,F46,D$10-SUM(E$17:E46))</f>
        <v>190197.25513291307</v>
      </c>
      <c r="E47" s="354">
        <f t="shared" si="5"/>
        <v>27251.36842105263</v>
      </c>
      <c r="F47" s="55">
        <f t="shared" si="37"/>
        <v>162945.88671186042</v>
      </c>
      <c r="G47" s="355">
        <f t="shared" si="38"/>
        <v>46381.368421052626</v>
      </c>
      <c r="H47" s="337">
        <f t="shared" si="39"/>
        <v>46381.368421052626</v>
      </c>
      <c r="I47" s="52">
        <f t="shared" si="6"/>
        <v>0</v>
      </c>
      <c r="J47" s="52"/>
      <c r="K47" s="115"/>
      <c r="L47" s="54">
        <f t="shared" si="40"/>
        <v>0</v>
      </c>
      <c r="M47" s="115"/>
      <c r="N47" s="54">
        <f t="shared" si="11"/>
        <v>0</v>
      </c>
      <c r="O47" s="54">
        <f t="shared" si="12"/>
        <v>0</v>
      </c>
      <c r="P47" s="1"/>
    </row>
    <row r="48" spans="2:16" ht="12.5">
      <c r="B48" s="7" t="str">
        <f t="shared" si="7"/>
        <v/>
      </c>
      <c r="C48" s="50">
        <f>IF(D11="","-",+C47+1)</f>
        <v>2044</v>
      </c>
      <c r="D48" s="55">
        <f>IF(F47+SUM(E$17:E47)=D$10,F47,D$10-SUM(E$17:E47))</f>
        <v>162945.88671186042</v>
      </c>
      <c r="E48" s="354">
        <f t="shared" si="5"/>
        <v>27251.36842105263</v>
      </c>
      <c r="F48" s="55">
        <f t="shared" si="37"/>
        <v>135694.51829080778</v>
      </c>
      <c r="G48" s="355">
        <f t="shared" si="38"/>
        <v>43182.368421052626</v>
      </c>
      <c r="H48" s="337">
        <f t="shared" si="39"/>
        <v>43182.368421052626</v>
      </c>
      <c r="I48" s="52">
        <f t="shared" si="6"/>
        <v>0</v>
      </c>
      <c r="J48" s="52"/>
      <c r="K48" s="115"/>
      <c r="L48" s="54">
        <f t="shared" si="40"/>
        <v>0</v>
      </c>
      <c r="M48" s="115"/>
      <c r="N48" s="54">
        <f t="shared" si="11"/>
        <v>0</v>
      </c>
      <c r="O48" s="54">
        <f t="shared" si="12"/>
        <v>0</v>
      </c>
      <c r="P48" s="1"/>
    </row>
    <row r="49" spans="2:22" ht="12.5">
      <c r="B49" s="7" t="str">
        <f t="shared" si="7"/>
        <v/>
      </c>
      <c r="C49" s="50">
        <f>IF(D11="","-",+C48+1)</f>
        <v>2045</v>
      </c>
      <c r="D49" s="55">
        <f>IF(F48+SUM(E$17:E48)=D$10,F48,D$10-SUM(E$17:E48))</f>
        <v>135694.51829080778</v>
      </c>
      <c r="E49" s="354">
        <f t="shared" si="5"/>
        <v>27251.36842105263</v>
      </c>
      <c r="F49" s="55">
        <f t="shared" si="37"/>
        <v>108443.14986975516</v>
      </c>
      <c r="G49" s="355">
        <f t="shared" si="38"/>
        <v>39983.368421052626</v>
      </c>
      <c r="H49" s="337">
        <f t="shared" si="39"/>
        <v>39983.368421052626</v>
      </c>
      <c r="I49" s="52">
        <f t="shared" si="6"/>
        <v>0</v>
      </c>
      <c r="J49" s="52"/>
      <c r="K49" s="115"/>
      <c r="L49" s="54">
        <f t="shared" si="40"/>
        <v>0</v>
      </c>
      <c r="M49" s="115"/>
      <c r="N49" s="54">
        <f t="shared" si="11"/>
        <v>0</v>
      </c>
      <c r="O49" s="54">
        <f t="shared" si="12"/>
        <v>0</v>
      </c>
      <c r="P49" s="1"/>
    </row>
    <row r="50" spans="2:22" ht="12.5">
      <c r="B50" s="7" t="str">
        <f t="shared" si="7"/>
        <v/>
      </c>
      <c r="C50" s="50">
        <f>IF(D11="","-",+C49+1)</f>
        <v>2046</v>
      </c>
      <c r="D50" s="55">
        <f>IF(F49+SUM(E$17:E49)=D$10,F49,D$10-SUM(E$17:E49))</f>
        <v>108443.14986975516</v>
      </c>
      <c r="E50" s="354">
        <f t="shared" si="5"/>
        <v>27251.36842105263</v>
      </c>
      <c r="F50" s="55">
        <f t="shared" si="37"/>
        <v>81191.781448702532</v>
      </c>
      <c r="G50" s="355">
        <f t="shared" si="38"/>
        <v>36783.368421052626</v>
      </c>
      <c r="H50" s="337">
        <f t="shared" si="39"/>
        <v>36783.368421052626</v>
      </c>
      <c r="I50" s="52">
        <f t="shared" si="6"/>
        <v>0</v>
      </c>
      <c r="J50" s="52"/>
      <c r="K50" s="115"/>
      <c r="L50" s="54">
        <f t="shared" si="40"/>
        <v>0</v>
      </c>
      <c r="M50" s="115"/>
      <c r="N50" s="54">
        <f t="shared" si="11"/>
        <v>0</v>
      </c>
      <c r="O50" s="54">
        <f t="shared" si="12"/>
        <v>0</v>
      </c>
      <c r="P50" s="1"/>
    </row>
    <row r="51" spans="2:22" ht="12.5">
      <c r="B51" s="7" t="str">
        <f t="shared" si="7"/>
        <v/>
      </c>
      <c r="C51" s="50">
        <f>IF(D11="","-",+C50+1)</f>
        <v>2047</v>
      </c>
      <c r="D51" s="55">
        <f>IF(F50+SUM(E$17:E50)=D$10,F50,D$10-SUM(E$17:E50))</f>
        <v>81191.781448702532</v>
      </c>
      <c r="E51" s="354">
        <f t="shared" si="5"/>
        <v>27251.36842105263</v>
      </c>
      <c r="F51" s="55">
        <f t="shared" si="37"/>
        <v>53940.413027649905</v>
      </c>
      <c r="G51" s="355">
        <f t="shared" si="38"/>
        <v>33584.368421052626</v>
      </c>
      <c r="H51" s="337">
        <f t="shared" si="39"/>
        <v>33584.368421052626</v>
      </c>
      <c r="I51" s="52">
        <f t="shared" si="6"/>
        <v>0</v>
      </c>
      <c r="J51" s="52"/>
      <c r="K51" s="115"/>
      <c r="L51" s="54">
        <f t="shared" si="40"/>
        <v>0</v>
      </c>
      <c r="M51" s="115"/>
      <c r="N51" s="54">
        <f t="shared" si="11"/>
        <v>0</v>
      </c>
      <c r="O51" s="54">
        <f t="shared" si="12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2048</v>
      </c>
      <c r="D52" s="55">
        <f>IF(F51+SUM(E$17:E51)=D$10,F51,D$10-SUM(E$17:E51))</f>
        <v>53940.413027649905</v>
      </c>
      <c r="E52" s="354">
        <f t="shared" si="5"/>
        <v>27251.36842105263</v>
      </c>
      <c r="F52" s="55">
        <f t="shared" si="37"/>
        <v>26689.044606597276</v>
      </c>
      <c r="G52" s="355">
        <f t="shared" si="38"/>
        <v>30384.36842105263</v>
      </c>
      <c r="H52" s="337">
        <f t="shared" si="39"/>
        <v>30384.36842105263</v>
      </c>
      <c r="I52" s="52">
        <f t="shared" si="6"/>
        <v>0</v>
      </c>
      <c r="J52" s="52"/>
      <c r="K52" s="115"/>
      <c r="L52" s="54">
        <f t="shared" si="40"/>
        <v>0</v>
      </c>
      <c r="M52" s="115"/>
      <c r="N52" s="54">
        <f t="shared" si="11"/>
        <v>0</v>
      </c>
      <c r="O52" s="54">
        <f t="shared" si="12"/>
        <v>0</v>
      </c>
      <c r="P52" s="1"/>
    </row>
    <row r="53" spans="2:22" ht="12.5">
      <c r="B53" s="7" t="str">
        <f t="shared" si="7"/>
        <v/>
      </c>
      <c r="C53" s="50">
        <f>IF(D11="","-",+C52+1)</f>
        <v>2049</v>
      </c>
      <c r="D53" s="55">
        <f>IF(F52+SUM(E$17:E52)=D$10,F52,D$10-SUM(E$17:E52))</f>
        <v>26689.044606597276</v>
      </c>
      <c r="E53" s="354">
        <f t="shared" si="5"/>
        <v>26689.044606597276</v>
      </c>
      <c r="F53" s="55">
        <f t="shared" si="37"/>
        <v>0</v>
      </c>
      <c r="G53" s="355">
        <f t="shared" si="38"/>
        <v>26689.044606597276</v>
      </c>
      <c r="H53" s="337">
        <f t="shared" si="39"/>
        <v>26689.044606597276</v>
      </c>
      <c r="I53" s="52">
        <f t="shared" si="6"/>
        <v>0</v>
      </c>
      <c r="J53" s="52"/>
      <c r="K53" s="115"/>
      <c r="L53" s="54">
        <f t="shared" si="40"/>
        <v>0</v>
      </c>
      <c r="M53" s="115"/>
      <c r="N53" s="54">
        <f t="shared" si="11"/>
        <v>0</v>
      </c>
      <c r="O53" s="54">
        <f t="shared" si="12"/>
        <v>0</v>
      </c>
      <c r="P53" s="1"/>
    </row>
    <row r="54" spans="2:22" ht="12.5">
      <c r="B54" s="7" t="str">
        <f t="shared" si="7"/>
        <v/>
      </c>
      <c r="C54" s="50">
        <f>IF(D11="","-",+C53+1)</f>
        <v>2050</v>
      </c>
      <c r="D54" s="55">
        <f>IF(F53+SUM(E$17:E53)=D$10,F53,D$10-SUM(E$17:E53))</f>
        <v>0</v>
      </c>
      <c r="E54" s="354">
        <f t="shared" si="5"/>
        <v>0</v>
      </c>
      <c r="F54" s="55">
        <f t="shared" si="37"/>
        <v>0</v>
      </c>
      <c r="G54" s="355">
        <f t="shared" si="38"/>
        <v>0</v>
      </c>
      <c r="H54" s="337">
        <f t="shared" si="39"/>
        <v>0</v>
      </c>
      <c r="I54" s="52">
        <f t="shared" si="6"/>
        <v>0</v>
      </c>
      <c r="J54" s="52"/>
      <c r="K54" s="115"/>
      <c r="L54" s="54">
        <f t="shared" si="40"/>
        <v>0</v>
      </c>
      <c r="M54" s="115"/>
      <c r="N54" s="54">
        <f t="shared" si="11"/>
        <v>0</v>
      </c>
      <c r="O54" s="54">
        <f t="shared" si="12"/>
        <v>0</v>
      </c>
      <c r="P54" s="1"/>
    </row>
    <row r="55" spans="2:22" ht="12.5">
      <c r="B55" s="7" t="str">
        <f t="shared" si="7"/>
        <v/>
      </c>
      <c r="C55" s="50">
        <f>IF(D11="","-",+C54+1)</f>
        <v>2051</v>
      </c>
      <c r="D55" s="55">
        <f>IF(F54+SUM(E$17:E54)=D$10,F54,D$10-SUM(E$17:E54))</f>
        <v>0</v>
      </c>
      <c r="E55" s="354">
        <f t="shared" si="5"/>
        <v>0</v>
      </c>
      <c r="F55" s="55">
        <f t="shared" si="37"/>
        <v>0</v>
      </c>
      <c r="G55" s="355">
        <f t="shared" si="38"/>
        <v>0</v>
      </c>
      <c r="H55" s="337">
        <f t="shared" si="39"/>
        <v>0</v>
      </c>
      <c r="I55" s="52">
        <f t="shared" si="6"/>
        <v>0</v>
      </c>
      <c r="J55" s="52"/>
      <c r="K55" s="115"/>
      <c r="L55" s="54">
        <f t="shared" si="40"/>
        <v>0</v>
      </c>
      <c r="M55" s="115"/>
      <c r="N55" s="54">
        <f t="shared" si="11"/>
        <v>0</v>
      </c>
      <c r="O55" s="54">
        <f t="shared" si="12"/>
        <v>0</v>
      </c>
      <c r="P55" s="1"/>
    </row>
    <row r="56" spans="2:22" ht="12.5">
      <c r="B56" s="7" t="str">
        <f t="shared" si="7"/>
        <v/>
      </c>
      <c r="C56" s="50">
        <f>IF(D11="","-",+C55+1)</f>
        <v>2052</v>
      </c>
      <c r="D56" s="55">
        <f>IF(F55+SUM(E$17:E55)=D$10,F55,D$10-SUM(E$17:E55))</f>
        <v>0</v>
      </c>
      <c r="E56" s="354">
        <f t="shared" si="5"/>
        <v>0</v>
      </c>
      <c r="F56" s="55">
        <f t="shared" si="37"/>
        <v>0</v>
      </c>
      <c r="G56" s="355">
        <f t="shared" si="38"/>
        <v>0</v>
      </c>
      <c r="H56" s="337">
        <f t="shared" si="39"/>
        <v>0</v>
      </c>
      <c r="I56" s="52">
        <f t="shared" si="6"/>
        <v>0</v>
      </c>
      <c r="J56" s="52"/>
      <c r="K56" s="115"/>
      <c r="L56" s="54">
        <f t="shared" si="40"/>
        <v>0</v>
      </c>
      <c r="M56" s="115"/>
      <c r="N56" s="54">
        <f t="shared" si="11"/>
        <v>0</v>
      </c>
      <c r="O56" s="54">
        <f t="shared" si="12"/>
        <v>0</v>
      </c>
      <c r="P56" s="1"/>
    </row>
    <row r="57" spans="2:22" ht="12.5">
      <c r="B57" s="7" t="str">
        <f t="shared" si="7"/>
        <v/>
      </c>
      <c r="C57" s="50">
        <f>IF(D11="","-",+C56+1)</f>
        <v>2053</v>
      </c>
      <c r="D57" s="55">
        <f>IF(F56+SUM(E$17:E56)=D$10,F56,D$10-SUM(E$17:E56))</f>
        <v>0</v>
      </c>
      <c r="E57" s="354">
        <f t="shared" si="5"/>
        <v>0</v>
      </c>
      <c r="F57" s="55">
        <f t="shared" si="37"/>
        <v>0</v>
      </c>
      <c r="G57" s="355">
        <f t="shared" si="38"/>
        <v>0</v>
      </c>
      <c r="H57" s="337">
        <f t="shared" si="39"/>
        <v>0</v>
      </c>
      <c r="I57" s="52">
        <f t="shared" si="6"/>
        <v>0</v>
      </c>
      <c r="J57" s="52"/>
      <c r="K57" s="115"/>
      <c r="L57" s="54">
        <f t="shared" si="40"/>
        <v>0</v>
      </c>
      <c r="M57" s="115"/>
      <c r="N57" s="54">
        <f t="shared" si="11"/>
        <v>0</v>
      </c>
      <c r="O57" s="54">
        <f t="shared" si="12"/>
        <v>0</v>
      </c>
      <c r="P57" s="1"/>
    </row>
    <row r="58" spans="2:22" ht="12.5">
      <c r="B58" s="7" t="str">
        <f t="shared" si="7"/>
        <v/>
      </c>
      <c r="C58" s="50">
        <f>IF(D11="","-",+C57+1)</f>
        <v>2054</v>
      </c>
      <c r="D58" s="55">
        <f>IF(F57+SUM(E$17:E57)=D$10,F57,D$10-SUM(E$17:E57))</f>
        <v>0</v>
      </c>
      <c r="E58" s="354">
        <f t="shared" si="5"/>
        <v>0</v>
      </c>
      <c r="F58" s="55">
        <f t="shared" si="37"/>
        <v>0</v>
      </c>
      <c r="G58" s="355">
        <f t="shared" si="38"/>
        <v>0</v>
      </c>
      <c r="H58" s="337">
        <f t="shared" si="39"/>
        <v>0</v>
      </c>
      <c r="I58" s="52">
        <f t="shared" si="6"/>
        <v>0</v>
      </c>
      <c r="J58" s="52"/>
      <c r="K58" s="115"/>
      <c r="L58" s="54">
        <f t="shared" si="40"/>
        <v>0</v>
      </c>
      <c r="M58" s="115"/>
      <c r="N58" s="54">
        <f t="shared" si="11"/>
        <v>0</v>
      </c>
      <c r="O58" s="54">
        <f t="shared" si="12"/>
        <v>0</v>
      </c>
      <c r="P58" s="1"/>
    </row>
    <row r="59" spans="2:22" ht="12.5">
      <c r="B59" s="7" t="str">
        <f t="shared" si="7"/>
        <v/>
      </c>
      <c r="C59" s="50">
        <f>IF(D11="","-",+C58+1)</f>
        <v>2055</v>
      </c>
      <c r="D59" s="55">
        <f>IF(F58+SUM(E$17:E58)=D$10,F58,D$10-SUM(E$17:E58))</f>
        <v>0</v>
      </c>
      <c r="E59" s="354">
        <f t="shared" si="5"/>
        <v>0</v>
      </c>
      <c r="F59" s="55">
        <f t="shared" si="37"/>
        <v>0</v>
      </c>
      <c r="G59" s="355">
        <f t="shared" si="38"/>
        <v>0</v>
      </c>
      <c r="H59" s="337">
        <f t="shared" si="39"/>
        <v>0</v>
      </c>
      <c r="I59" s="52">
        <f t="shared" si="6"/>
        <v>0</v>
      </c>
      <c r="J59" s="52"/>
      <c r="K59" s="115"/>
      <c r="L59" s="54">
        <f t="shared" si="40"/>
        <v>0</v>
      </c>
      <c r="M59" s="115"/>
      <c r="N59" s="54">
        <f t="shared" si="11"/>
        <v>0</v>
      </c>
      <c r="O59" s="54">
        <f t="shared" si="12"/>
        <v>0</v>
      </c>
      <c r="P59" s="1"/>
    </row>
    <row r="60" spans="2:22" ht="12.5">
      <c r="B60" s="7" t="str">
        <f t="shared" si="7"/>
        <v/>
      </c>
      <c r="C60" s="50">
        <f>IF(D11="","-",+C59+1)</f>
        <v>2056</v>
      </c>
      <c r="D60" s="55">
        <f>IF(F59+SUM(E$17:E59)=D$10,F59,D$10-SUM(E$17:E59))</f>
        <v>0</v>
      </c>
      <c r="E60" s="354">
        <f t="shared" si="5"/>
        <v>0</v>
      </c>
      <c r="F60" s="55">
        <f t="shared" si="37"/>
        <v>0</v>
      </c>
      <c r="G60" s="355">
        <f t="shared" si="38"/>
        <v>0</v>
      </c>
      <c r="H60" s="337">
        <f t="shared" si="39"/>
        <v>0</v>
      </c>
      <c r="I60" s="52">
        <f t="shared" si="6"/>
        <v>0</v>
      </c>
      <c r="J60" s="52"/>
      <c r="K60" s="115"/>
      <c r="L60" s="54">
        <f t="shared" si="40"/>
        <v>0</v>
      </c>
      <c r="M60" s="115"/>
      <c r="N60" s="54">
        <f t="shared" si="11"/>
        <v>0</v>
      </c>
      <c r="O60" s="54">
        <f t="shared" si="12"/>
        <v>0</v>
      </c>
      <c r="P60" s="1"/>
    </row>
    <row r="61" spans="2:22" ht="12.5">
      <c r="B61" s="7" t="str">
        <f t="shared" si="7"/>
        <v/>
      </c>
      <c r="C61" s="50">
        <f>IF(D11="","-",+C60+1)</f>
        <v>2057</v>
      </c>
      <c r="D61" s="55">
        <f>IF(F60+SUM(E$17:E60)=D$10,F60,D$10-SUM(E$17:E60))</f>
        <v>0</v>
      </c>
      <c r="E61" s="354">
        <f t="shared" si="5"/>
        <v>0</v>
      </c>
      <c r="F61" s="55">
        <f t="shared" si="37"/>
        <v>0</v>
      </c>
      <c r="G61" s="355">
        <f t="shared" si="38"/>
        <v>0</v>
      </c>
      <c r="H61" s="337">
        <f t="shared" si="39"/>
        <v>0</v>
      </c>
      <c r="I61" s="52">
        <f t="shared" si="6"/>
        <v>0</v>
      </c>
      <c r="J61" s="52"/>
      <c r="K61" s="115"/>
      <c r="L61" s="54">
        <f t="shared" si="40"/>
        <v>0</v>
      </c>
      <c r="M61" s="115"/>
      <c r="N61" s="54">
        <f t="shared" si="11"/>
        <v>0</v>
      </c>
      <c r="O61" s="54">
        <f t="shared" si="12"/>
        <v>0</v>
      </c>
      <c r="P61" s="1"/>
    </row>
    <row r="62" spans="2:22" ht="12.5">
      <c r="B62" s="7" t="str">
        <f t="shared" si="7"/>
        <v/>
      </c>
      <c r="C62" s="50">
        <f>IF(D11="","-",+C61+1)</f>
        <v>2058</v>
      </c>
      <c r="D62" s="55">
        <f>IF(F61+SUM(E$17:E61)=D$10,F61,D$10-SUM(E$17:E61))</f>
        <v>0</v>
      </c>
      <c r="E62" s="354">
        <f t="shared" si="5"/>
        <v>0</v>
      </c>
      <c r="F62" s="55">
        <f t="shared" si="37"/>
        <v>0</v>
      </c>
      <c r="G62" s="355">
        <f t="shared" si="38"/>
        <v>0</v>
      </c>
      <c r="H62" s="337">
        <f t="shared" si="39"/>
        <v>0</v>
      </c>
      <c r="I62" s="52">
        <f t="shared" si="6"/>
        <v>0</v>
      </c>
      <c r="J62" s="52"/>
      <c r="K62" s="115"/>
      <c r="L62" s="54">
        <f t="shared" si="40"/>
        <v>0</v>
      </c>
      <c r="M62" s="115"/>
      <c r="N62" s="54">
        <f t="shared" si="11"/>
        <v>0</v>
      </c>
      <c r="O62" s="54">
        <f t="shared" si="12"/>
        <v>0</v>
      </c>
      <c r="P62" s="1"/>
    </row>
    <row r="63" spans="2:22" ht="12.5">
      <c r="B63" s="7" t="str">
        <f t="shared" si="7"/>
        <v/>
      </c>
      <c r="C63" s="50">
        <f>IF(D11="","-",+C62+1)</f>
        <v>2059</v>
      </c>
      <c r="D63" s="55">
        <f>IF(F62+SUM(E$17:E62)=D$10,F62,D$10-SUM(E$17:E62))</f>
        <v>0</v>
      </c>
      <c r="E63" s="354">
        <f t="shared" si="5"/>
        <v>0</v>
      </c>
      <c r="F63" s="55">
        <f t="shared" si="37"/>
        <v>0</v>
      </c>
      <c r="G63" s="355">
        <f t="shared" si="38"/>
        <v>0</v>
      </c>
      <c r="H63" s="337">
        <f t="shared" si="39"/>
        <v>0</v>
      </c>
      <c r="I63" s="52">
        <f t="shared" si="6"/>
        <v>0</v>
      </c>
      <c r="J63" s="52"/>
      <c r="K63" s="115"/>
      <c r="L63" s="54">
        <f t="shared" si="40"/>
        <v>0</v>
      </c>
      <c r="M63" s="115"/>
      <c r="N63" s="54">
        <f t="shared" si="11"/>
        <v>0</v>
      </c>
      <c r="O63" s="54">
        <f t="shared" si="12"/>
        <v>0</v>
      </c>
      <c r="P63" s="1"/>
    </row>
    <row r="64" spans="2:22" ht="12.5">
      <c r="B64" s="7" t="str">
        <f t="shared" si="7"/>
        <v/>
      </c>
      <c r="C64" s="50">
        <f>IF(D11="","-",+C63+1)</f>
        <v>2060</v>
      </c>
      <c r="D64" s="55">
        <f>IF(F63+SUM(E$17:E63)=D$10,F63,D$10-SUM(E$17:E63))</f>
        <v>0</v>
      </c>
      <c r="E64" s="354">
        <f t="shared" si="5"/>
        <v>0</v>
      </c>
      <c r="F64" s="55">
        <f t="shared" si="37"/>
        <v>0</v>
      </c>
      <c r="G64" s="355">
        <f t="shared" si="38"/>
        <v>0</v>
      </c>
      <c r="H64" s="337">
        <f t="shared" si="39"/>
        <v>0</v>
      </c>
      <c r="I64" s="52">
        <f t="shared" si="6"/>
        <v>0</v>
      </c>
      <c r="J64" s="52"/>
      <c r="K64" s="115"/>
      <c r="L64" s="54">
        <f t="shared" si="40"/>
        <v>0</v>
      </c>
      <c r="M64" s="115"/>
      <c r="N64" s="54">
        <f t="shared" si="11"/>
        <v>0</v>
      </c>
      <c r="O64" s="54">
        <f t="shared" si="12"/>
        <v>0</v>
      </c>
      <c r="P64" s="1"/>
    </row>
    <row r="65" spans="2:16" ht="12.5">
      <c r="B65" s="7" t="str">
        <f t="shared" si="7"/>
        <v/>
      </c>
      <c r="C65" s="50">
        <f>IF(D11="","-",+C64+1)</f>
        <v>2061</v>
      </c>
      <c r="D65" s="55">
        <f>IF(F64+SUM(E$17:E64)=D$10,F64,D$10-SUM(E$17:E64))</f>
        <v>0</v>
      </c>
      <c r="E65" s="354">
        <f t="shared" si="5"/>
        <v>0</v>
      </c>
      <c r="F65" s="55">
        <f t="shared" si="37"/>
        <v>0</v>
      </c>
      <c r="G65" s="355">
        <f t="shared" si="38"/>
        <v>0</v>
      </c>
      <c r="H65" s="337">
        <f t="shared" si="39"/>
        <v>0</v>
      </c>
      <c r="I65" s="52">
        <f t="shared" si="6"/>
        <v>0</v>
      </c>
      <c r="J65" s="52"/>
      <c r="K65" s="115"/>
      <c r="L65" s="54">
        <f t="shared" si="40"/>
        <v>0</v>
      </c>
      <c r="M65" s="115"/>
      <c r="N65" s="54">
        <f t="shared" si="11"/>
        <v>0</v>
      </c>
      <c r="O65" s="54">
        <f t="shared" si="12"/>
        <v>0</v>
      </c>
      <c r="P65" s="1"/>
    </row>
    <row r="66" spans="2:16" ht="12.5">
      <c r="B66" s="7" t="str">
        <f t="shared" si="7"/>
        <v/>
      </c>
      <c r="C66" s="50">
        <f>IF(D11="","-",+C65+1)</f>
        <v>2062</v>
      </c>
      <c r="D66" s="55">
        <f>IF(F65+SUM(E$17:E65)=D$10,F65,D$10-SUM(E$17:E65))</f>
        <v>0</v>
      </c>
      <c r="E66" s="354">
        <f t="shared" si="5"/>
        <v>0</v>
      </c>
      <c r="F66" s="55">
        <f t="shared" si="37"/>
        <v>0</v>
      </c>
      <c r="G66" s="355">
        <f t="shared" si="38"/>
        <v>0</v>
      </c>
      <c r="H66" s="337">
        <f t="shared" si="39"/>
        <v>0</v>
      </c>
      <c r="I66" s="52">
        <f t="shared" si="6"/>
        <v>0</v>
      </c>
      <c r="J66" s="52"/>
      <c r="K66" s="115"/>
      <c r="L66" s="54">
        <f t="shared" si="40"/>
        <v>0</v>
      </c>
      <c r="M66" s="115"/>
      <c r="N66" s="54">
        <f t="shared" si="11"/>
        <v>0</v>
      </c>
      <c r="O66" s="54">
        <f t="shared" si="12"/>
        <v>0</v>
      </c>
      <c r="P66" s="1"/>
    </row>
    <row r="67" spans="2:16" ht="12.5">
      <c r="B67" s="7" t="str">
        <f t="shared" si="7"/>
        <v/>
      </c>
      <c r="C67" s="50">
        <f>IF(D11="","-",+C66+1)</f>
        <v>2063</v>
      </c>
      <c r="D67" s="55">
        <f>IF(F66+SUM(E$17:E66)=D$10,F66,D$10-SUM(E$17:E66))</f>
        <v>0</v>
      </c>
      <c r="E67" s="354">
        <f t="shared" si="5"/>
        <v>0</v>
      </c>
      <c r="F67" s="55">
        <f t="shared" si="37"/>
        <v>0</v>
      </c>
      <c r="G67" s="355">
        <f t="shared" si="38"/>
        <v>0</v>
      </c>
      <c r="H67" s="337">
        <f t="shared" si="39"/>
        <v>0</v>
      </c>
      <c r="I67" s="52">
        <f t="shared" si="6"/>
        <v>0</v>
      </c>
      <c r="J67" s="52"/>
      <c r="K67" s="115"/>
      <c r="L67" s="54">
        <f t="shared" si="40"/>
        <v>0</v>
      </c>
      <c r="M67" s="115"/>
      <c r="N67" s="54">
        <f t="shared" si="11"/>
        <v>0</v>
      </c>
      <c r="O67" s="54">
        <f t="shared" si="12"/>
        <v>0</v>
      </c>
      <c r="P67" s="1"/>
    </row>
    <row r="68" spans="2:16" ht="12.5">
      <c r="B68" s="7" t="str">
        <f t="shared" si="7"/>
        <v/>
      </c>
      <c r="C68" s="50">
        <f>IF(D11="","-",+C67+1)</f>
        <v>2064</v>
      </c>
      <c r="D68" s="55">
        <f>IF(F67+SUM(E$17:E67)=D$10,F67,D$10-SUM(E$17:E67))</f>
        <v>0</v>
      </c>
      <c r="E68" s="354">
        <f t="shared" si="5"/>
        <v>0</v>
      </c>
      <c r="F68" s="55">
        <f t="shared" si="37"/>
        <v>0</v>
      </c>
      <c r="G68" s="355">
        <f t="shared" si="38"/>
        <v>0</v>
      </c>
      <c r="H68" s="337">
        <f t="shared" si="39"/>
        <v>0</v>
      </c>
      <c r="I68" s="52">
        <f t="shared" si="6"/>
        <v>0</v>
      </c>
      <c r="J68" s="52"/>
      <c r="K68" s="115"/>
      <c r="L68" s="54">
        <f t="shared" si="40"/>
        <v>0</v>
      </c>
      <c r="M68" s="115"/>
      <c r="N68" s="54">
        <f t="shared" si="11"/>
        <v>0</v>
      </c>
      <c r="O68" s="54">
        <f t="shared" si="12"/>
        <v>0</v>
      </c>
      <c r="P68" s="1"/>
    </row>
    <row r="69" spans="2:16" ht="12.5">
      <c r="B69" s="7" t="str">
        <f t="shared" si="7"/>
        <v/>
      </c>
      <c r="C69" s="50">
        <f>IF(D11="","-",+C68+1)</f>
        <v>2065</v>
      </c>
      <c r="D69" s="55">
        <f>IF(F68+SUM(E$17:E68)=D$10,F68,D$10-SUM(E$17:E68))</f>
        <v>0</v>
      </c>
      <c r="E69" s="354">
        <f t="shared" si="5"/>
        <v>0</v>
      </c>
      <c r="F69" s="55">
        <f t="shared" si="37"/>
        <v>0</v>
      </c>
      <c r="G69" s="355">
        <f t="shared" si="38"/>
        <v>0</v>
      </c>
      <c r="H69" s="337">
        <f t="shared" si="39"/>
        <v>0</v>
      </c>
      <c r="I69" s="52">
        <f t="shared" si="6"/>
        <v>0</v>
      </c>
      <c r="J69" s="52"/>
      <c r="K69" s="115"/>
      <c r="L69" s="54">
        <f t="shared" si="40"/>
        <v>0</v>
      </c>
      <c r="M69" s="115"/>
      <c r="N69" s="54">
        <f t="shared" si="11"/>
        <v>0</v>
      </c>
      <c r="O69" s="54">
        <f t="shared" si="12"/>
        <v>0</v>
      </c>
      <c r="P69" s="1"/>
    </row>
    <row r="70" spans="2:16" ht="12.5">
      <c r="B70" s="7" t="str">
        <f t="shared" si="7"/>
        <v/>
      </c>
      <c r="C70" s="50">
        <f>IF(D11="","-",+C69+1)</f>
        <v>2066</v>
      </c>
      <c r="D70" s="55">
        <f>IF(F69+SUM(E$17:E69)=D$10,F69,D$10-SUM(E$17:E69))</f>
        <v>0</v>
      </c>
      <c r="E70" s="354">
        <f t="shared" si="5"/>
        <v>0</v>
      </c>
      <c r="F70" s="55">
        <f t="shared" si="37"/>
        <v>0</v>
      </c>
      <c r="G70" s="355">
        <f t="shared" si="38"/>
        <v>0</v>
      </c>
      <c r="H70" s="337">
        <f t="shared" si="39"/>
        <v>0</v>
      </c>
      <c r="I70" s="52">
        <f t="shared" si="6"/>
        <v>0</v>
      </c>
      <c r="J70" s="52"/>
      <c r="K70" s="115"/>
      <c r="L70" s="54">
        <f t="shared" si="40"/>
        <v>0</v>
      </c>
      <c r="M70" s="115"/>
      <c r="N70" s="54">
        <f t="shared" si="11"/>
        <v>0</v>
      </c>
      <c r="O70" s="54">
        <f t="shared" si="12"/>
        <v>0</v>
      </c>
      <c r="P70" s="1"/>
    </row>
    <row r="71" spans="2:16" ht="12.5">
      <c r="B71" s="7" t="str">
        <f t="shared" si="7"/>
        <v/>
      </c>
      <c r="C71" s="50">
        <f>IF(D11="","-",+C70+1)</f>
        <v>2067</v>
      </c>
      <c r="D71" s="55">
        <f>IF(F70+SUM(E$17:E70)=D$10,F70,D$10-SUM(E$17:E70))</f>
        <v>0</v>
      </c>
      <c r="E71" s="354">
        <f t="shared" si="5"/>
        <v>0</v>
      </c>
      <c r="F71" s="55">
        <f t="shared" si="37"/>
        <v>0</v>
      </c>
      <c r="G71" s="355">
        <f t="shared" si="38"/>
        <v>0</v>
      </c>
      <c r="H71" s="337">
        <f t="shared" si="39"/>
        <v>0</v>
      </c>
      <c r="I71" s="52">
        <f t="shared" si="6"/>
        <v>0</v>
      </c>
      <c r="J71" s="52"/>
      <c r="K71" s="115"/>
      <c r="L71" s="54">
        <f t="shared" si="40"/>
        <v>0</v>
      </c>
      <c r="M71" s="115"/>
      <c r="N71" s="54">
        <f t="shared" si="11"/>
        <v>0</v>
      </c>
      <c r="O71" s="54">
        <f t="shared" si="12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2068</v>
      </c>
      <c r="D72" s="55">
        <f>IF(F71+SUM(E$17:E71)=D$10,F71,D$10-SUM(E$17:E71))</f>
        <v>0</v>
      </c>
      <c r="E72" s="354">
        <f t="shared" si="5"/>
        <v>0</v>
      </c>
      <c r="F72" s="55">
        <f t="shared" si="37"/>
        <v>0</v>
      </c>
      <c r="G72" s="355">
        <f t="shared" si="38"/>
        <v>0</v>
      </c>
      <c r="H72" s="337">
        <f t="shared" si="39"/>
        <v>0</v>
      </c>
      <c r="I72" s="52">
        <f t="shared" si="6"/>
        <v>0</v>
      </c>
      <c r="J72" s="52"/>
      <c r="K72" s="116"/>
      <c r="L72" s="62">
        <f t="shared" si="40"/>
        <v>0</v>
      </c>
      <c r="M72" s="116"/>
      <c r="N72" s="62">
        <f t="shared" si="11"/>
        <v>0</v>
      </c>
      <c r="O72" s="62">
        <f t="shared" si="12"/>
        <v>0</v>
      </c>
      <c r="P72" s="1"/>
    </row>
    <row r="73" spans="2:16" ht="12.5">
      <c r="C73" s="12" t="s">
        <v>77</v>
      </c>
      <c r="D73" s="267"/>
      <c r="E73" s="267">
        <f>SUM(E17:E72)</f>
        <v>1035551.9999999994</v>
      </c>
      <c r="F73" s="267"/>
      <c r="G73" s="267">
        <f>SUM(G17:G72)</f>
        <v>5095305.2712497041</v>
      </c>
      <c r="H73" s="267">
        <f>SUM(H17:H72)</f>
        <v>5095305.2712497041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14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104676.36842105263</v>
      </c>
      <c r="N87" s="364">
        <f>IF(J92&lt;D11,0,VLOOKUP(J92,C17:O72,11))</f>
        <v>104676.36842105263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130407.16465946536</v>
      </c>
      <c r="N88" s="367">
        <f>IF(J92&lt;D11,0,VLOOKUP(J92,C99:P154,7))</f>
        <v>130407.16465946536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Ashdown West - Craig Junction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25730.796238412731</v>
      </c>
      <c r="N89" s="369">
        <f>+N88-N87</f>
        <v>25730.796238412731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TP2009092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f>+D10</f>
        <v>1035552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429" t="s">
        <v>271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+D12</f>
        <v>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27988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 t="str">
        <f>IF(D93= "","-",D93)</f>
        <v>2013</v>
      </c>
      <c r="D99" s="411">
        <v>0</v>
      </c>
      <c r="E99" s="412">
        <v>16595</v>
      </c>
      <c r="F99" s="413">
        <v>1018741</v>
      </c>
      <c r="G99" s="430">
        <v>509371</v>
      </c>
      <c r="H99" s="431">
        <v>89910</v>
      </c>
      <c r="I99" s="432">
        <v>89910</v>
      </c>
      <c r="J99" s="54">
        <v>0</v>
      </c>
      <c r="K99" s="54"/>
      <c r="L99" s="324">
        <f t="shared" ref="L99:L104" si="41">H99</f>
        <v>89910</v>
      </c>
      <c r="M99" s="63">
        <f t="shared" ref="M99:M104" si="42">IF(L99&lt;&gt;0,+H99-L99,0)</f>
        <v>0</v>
      </c>
      <c r="N99" s="324">
        <f t="shared" ref="N99:N104" si="43">I99</f>
        <v>89910</v>
      </c>
      <c r="O99" s="52">
        <f t="shared" ref="O99:O104" si="44">IF(N99&lt;&gt;0,+I99-N99,0)</f>
        <v>0</v>
      </c>
      <c r="P99" s="54">
        <f t="shared" ref="P99:P104" si="45">+O99-M99</f>
        <v>0</v>
      </c>
    </row>
    <row r="100" spans="1:16" ht="12.5">
      <c r="B100" s="7" t="str">
        <f>IF(D100=F99,"","IU")</f>
        <v>IU</v>
      </c>
      <c r="C100" s="50">
        <f>IF(D93="","-",+C99+1)</f>
        <v>2014</v>
      </c>
      <c r="D100" s="411">
        <v>1018957</v>
      </c>
      <c r="E100" s="412">
        <v>19914</v>
      </c>
      <c r="F100" s="413">
        <v>999043</v>
      </c>
      <c r="G100" s="413">
        <v>1009000</v>
      </c>
      <c r="H100" s="412">
        <v>161775</v>
      </c>
      <c r="I100" s="414">
        <v>161775</v>
      </c>
      <c r="J100" s="54">
        <f>+I100-H100</f>
        <v>0</v>
      </c>
      <c r="K100" s="54"/>
      <c r="L100" s="324">
        <f t="shared" si="41"/>
        <v>161775</v>
      </c>
      <c r="M100" s="63">
        <f t="shared" si="42"/>
        <v>0</v>
      </c>
      <c r="N100" s="324">
        <f t="shared" si="43"/>
        <v>161775</v>
      </c>
      <c r="O100" s="52">
        <f t="shared" si="44"/>
        <v>0</v>
      </c>
      <c r="P100" s="54">
        <f t="shared" si="45"/>
        <v>0</v>
      </c>
    </row>
    <row r="101" spans="1:16" ht="12.5">
      <c r="B101" s="7" t="str">
        <f t="shared" ref="B101:B154" si="46">IF(D101=F100,"","IU")</f>
        <v/>
      </c>
      <c r="C101" s="50">
        <f>IF(D93="","-",+C100+1)</f>
        <v>2015</v>
      </c>
      <c r="D101" s="411">
        <v>999043</v>
      </c>
      <c r="E101" s="412">
        <v>19914</v>
      </c>
      <c r="F101" s="413">
        <v>979129</v>
      </c>
      <c r="G101" s="413">
        <v>989086</v>
      </c>
      <c r="H101" s="412">
        <v>154866.83205665913</v>
      </c>
      <c r="I101" s="414">
        <v>154866.83205665913</v>
      </c>
      <c r="J101" s="54">
        <f>+I101-H101</f>
        <v>0</v>
      </c>
      <c r="K101" s="54"/>
      <c r="L101" s="324">
        <f t="shared" si="41"/>
        <v>154866.83205665913</v>
      </c>
      <c r="M101" s="63">
        <f t="shared" si="42"/>
        <v>0</v>
      </c>
      <c r="N101" s="324">
        <f t="shared" si="43"/>
        <v>154866.83205665913</v>
      </c>
      <c r="O101" s="52">
        <f t="shared" si="44"/>
        <v>0</v>
      </c>
      <c r="P101" s="54">
        <f t="shared" si="45"/>
        <v>0</v>
      </c>
    </row>
    <row r="102" spans="1:16" ht="12.5">
      <c r="B102" s="7" t="str">
        <f t="shared" si="46"/>
        <v/>
      </c>
      <c r="C102" s="50">
        <f>IF(D93="","-",+C101+1)</f>
        <v>2016</v>
      </c>
      <c r="D102" s="411">
        <v>979129</v>
      </c>
      <c r="E102" s="412">
        <v>22512</v>
      </c>
      <c r="F102" s="413">
        <v>956617</v>
      </c>
      <c r="G102" s="413">
        <v>967873</v>
      </c>
      <c r="H102" s="412">
        <v>147286.07261026395</v>
      </c>
      <c r="I102" s="414">
        <v>147286.07261026395</v>
      </c>
      <c r="J102" s="54">
        <f t="shared" ref="J102:J154" si="47">+I102-H102</f>
        <v>0</v>
      </c>
      <c r="K102" s="54"/>
      <c r="L102" s="324">
        <f t="shared" si="41"/>
        <v>147286.07261026395</v>
      </c>
      <c r="M102" s="63">
        <f t="shared" si="42"/>
        <v>0</v>
      </c>
      <c r="N102" s="324">
        <f t="shared" si="43"/>
        <v>147286.07261026395</v>
      </c>
      <c r="O102" s="52">
        <f t="shared" si="44"/>
        <v>0</v>
      </c>
      <c r="P102" s="54">
        <f t="shared" si="45"/>
        <v>0</v>
      </c>
    </row>
    <row r="103" spans="1:16" ht="12.5">
      <c r="B103" s="7" t="str">
        <f t="shared" si="46"/>
        <v/>
      </c>
      <c r="C103" s="50">
        <f>IF(D93="","-",+C102+1)</f>
        <v>2017</v>
      </c>
      <c r="D103" s="411">
        <v>956617</v>
      </c>
      <c r="E103" s="412">
        <v>22512</v>
      </c>
      <c r="F103" s="413">
        <v>934105</v>
      </c>
      <c r="G103" s="413">
        <v>945361</v>
      </c>
      <c r="H103" s="412">
        <v>142433.42657860837</v>
      </c>
      <c r="I103" s="414">
        <v>142433.42657860837</v>
      </c>
      <c r="J103" s="54">
        <f t="shared" si="47"/>
        <v>0</v>
      </c>
      <c r="K103" s="54"/>
      <c r="L103" s="324">
        <f t="shared" si="41"/>
        <v>142433.42657860837</v>
      </c>
      <c r="M103" s="63">
        <f t="shared" si="42"/>
        <v>0</v>
      </c>
      <c r="N103" s="324">
        <f t="shared" si="43"/>
        <v>142433.42657860837</v>
      </c>
      <c r="O103" s="52">
        <f t="shared" si="44"/>
        <v>0</v>
      </c>
      <c r="P103" s="54">
        <f t="shared" si="45"/>
        <v>0</v>
      </c>
    </row>
    <row r="104" spans="1:16" ht="12.5">
      <c r="B104" s="7" t="str">
        <f t="shared" si="46"/>
        <v/>
      </c>
      <c r="C104" s="50">
        <f>IF(D93="","-",+C103+1)</f>
        <v>2018</v>
      </c>
      <c r="D104" s="411">
        <v>934105</v>
      </c>
      <c r="E104" s="412">
        <v>24083</v>
      </c>
      <c r="F104" s="413">
        <v>910022</v>
      </c>
      <c r="G104" s="413">
        <v>922063.5</v>
      </c>
      <c r="H104" s="412">
        <v>118811.71632291189</v>
      </c>
      <c r="I104" s="414">
        <v>118811.71632291189</v>
      </c>
      <c r="J104" s="54">
        <f t="shared" si="47"/>
        <v>0</v>
      </c>
      <c r="K104" s="54"/>
      <c r="L104" s="324">
        <f t="shared" si="41"/>
        <v>118811.71632291189</v>
      </c>
      <c r="M104" s="63">
        <f t="shared" si="42"/>
        <v>0</v>
      </c>
      <c r="N104" s="324">
        <f t="shared" si="43"/>
        <v>118811.71632291189</v>
      </c>
      <c r="O104" s="52">
        <f t="shared" si="44"/>
        <v>0</v>
      </c>
      <c r="P104" s="54">
        <f t="shared" si="45"/>
        <v>0</v>
      </c>
    </row>
    <row r="105" spans="1:16" ht="12.5">
      <c r="B105" s="7" t="str">
        <f t="shared" si="46"/>
        <v/>
      </c>
      <c r="C105" s="50">
        <f>IF(D93="","-",+C104+1)</f>
        <v>2019</v>
      </c>
      <c r="D105" s="411">
        <v>910022</v>
      </c>
      <c r="E105" s="412">
        <v>25257</v>
      </c>
      <c r="F105" s="413">
        <v>884765</v>
      </c>
      <c r="G105" s="413">
        <v>897393.5</v>
      </c>
      <c r="H105" s="412">
        <v>117790.85676358812</v>
      </c>
      <c r="I105" s="414">
        <v>117790.85676358812</v>
      </c>
      <c r="J105" s="54">
        <f t="shared" si="47"/>
        <v>0</v>
      </c>
      <c r="K105" s="54"/>
      <c r="L105" s="324">
        <f t="shared" ref="L105:L106" si="48">H105</f>
        <v>117790.85676358812</v>
      </c>
      <c r="M105" s="63">
        <f t="shared" ref="M105:M106" si="49">IF(L105&lt;&gt;0,+H105-L105,0)</f>
        <v>0</v>
      </c>
      <c r="N105" s="324">
        <f t="shared" ref="N105:N106" si="50">I105</f>
        <v>117790.85676358812</v>
      </c>
      <c r="O105" s="54">
        <f t="shared" ref="O105:O130" si="51">IF(N105&lt;&gt;0,+I105-N105,0)</f>
        <v>0</v>
      </c>
      <c r="P105" s="54">
        <f t="shared" ref="P105:P130" si="52">+O105-M105</f>
        <v>0</v>
      </c>
    </row>
    <row r="106" spans="1:16" ht="12.5">
      <c r="B106" s="7" t="str">
        <f t="shared" si="46"/>
        <v/>
      </c>
      <c r="C106" s="50">
        <f>IF(D93="","-",+C105+1)</f>
        <v>2020</v>
      </c>
      <c r="D106" s="411">
        <v>884765</v>
      </c>
      <c r="E106" s="412">
        <v>24083</v>
      </c>
      <c r="F106" s="413">
        <v>860682</v>
      </c>
      <c r="G106" s="413">
        <v>872723.5</v>
      </c>
      <c r="H106" s="412">
        <v>124705.62019457563</v>
      </c>
      <c r="I106" s="414">
        <v>124705.62019457563</v>
      </c>
      <c r="J106" s="54">
        <f t="shared" si="47"/>
        <v>0</v>
      </c>
      <c r="K106" s="54"/>
      <c r="L106" s="324">
        <f t="shared" si="48"/>
        <v>124705.62019457563</v>
      </c>
      <c r="M106" s="63">
        <f t="shared" si="49"/>
        <v>0</v>
      </c>
      <c r="N106" s="324">
        <f t="shared" si="50"/>
        <v>124705.62019457563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6"/>
        <v/>
      </c>
      <c r="C107" s="50">
        <f>IF(D93="","-",+C106+1)</f>
        <v>2021</v>
      </c>
      <c r="D107" s="411">
        <v>860682</v>
      </c>
      <c r="E107" s="412">
        <v>25257</v>
      </c>
      <c r="F107" s="413">
        <v>835425</v>
      </c>
      <c r="G107" s="413">
        <v>848053.5</v>
      </c>
      <c r="H107" s="412">
        <v>121759.37640510849</v>
      </c>
      <c r="I107" s="414">
        <v>121759.37640510849</v>
      </c>
      <c r="J107" s="54">
        <f t="shared" si="47"/>
        <v>0</v>
      </c>
      <c r="K107" s="54"/>
      <c r="L107" s="324">
        <f t="shared" ref="L107" si="53">H107</f>
        <v>121759.37640510849</v>
      </c>
      <c r="M107" s="63">
        <f t="shared" ref="M107" si="54">IF(L107&lt;&gt;0,+H107-L107,0)</f>
        <v>0</v>
      </c>
      <c r="N107" s="324">
        <f t="shared" ref="N107" si="55">I107</f>
        <v>121759.37640510849</v>
      </c>
      <c r="O107" s="54">
        <f t="shared" ref="O107" si="56">IF(N107&lt;&gt;0,+I107-N107,0)</f>
        <v>0</v>
      </c>
      <c r="P107" s="54">
        <f t="shared" ref="P107" si="57">+O107-M107</f>
        <v>0</v>
      </c>
    </row>
    <row r="108" spans="1:16" ht="12.5">
      <c r="B108" s="7" t="str">
        <f t="shared" si="46"/>
        <v/>
      </c>
      <c r="C108" s="450">
        <f>IF(D93="","-",+C107+1)</f>
        <v>2022</v>
      </c>
      <c r="D108" s="411">
        <v>835425</v>
      </c>
      <c r="E108" s="412">
        <v>26553</v>
      </c>
      <c r="F108" s="413">
        <v>808872</v>
      </c>
      <c r="G108" s="413">
        <v>822148.5</v>
      </c>
      <c r="H108" s="412">
        <v>117139.50278773616</v>
      </c>
      <c r="I108" s="414">
        <v>117139.50278773616</v>
      </c>
      <c r="J108" s="54">
        <f t="shared" si="47"/>
        <v>0</v>
      </c>
      <c r="K108" s="54"/>
      <c r="L108" s="324">
        <f t="shared" ref="L108:L109" si="58">H108</f>
        <v>117139.50278773616</v>
      </c>
      <c r="M108" s="63">
        <f t="shared" ref="M108:M109" si="59">IF(L108&lt;&gt;0,+H108-L108,0)</f>
        <v>0</v>
      </c>
      <c r="N108" s="324">
        <f t="shared" ref="N108:N109" si="60">I108</f>
        <v>117139.50278773616</v>
      </c>
      <c r="O108" s="54">
        <f t="shared" ref="O108:O109" si="61">IF(N108&lt;&gt;0,+I108-N108,0)</f>
        <v>0</v>
      </c>
      <c r="P108" s="54">
        <f t="shared" ref="P108:P109" si="62">+O108-M108</f>
        <v>0</v>
      </c>
    </row>
    <row r="109" spans="1:16" ht="12.5">
      <c r="B109" s="7" t="str">
        <f t="shared" si="46"/>
        <v/>
      </c>
      <c r="C109" s="50">
        <f>IF(D93="","-",+C108+1)</f>
        <v>2023</v>
      </c>
      <c r="D109" s="411">
        <v>808872</v>
      </c>
      <c r="E109" s="412">
        <v>27251</v>
      </c>
      <c r="F109" s="413">
        <v>781621</v>
      </c>
      <c r="G109" s="413">
        <v>795246.5</v>
      </c>
      <c r="H109" s="412">
        <v>118089.66414766702</v>
      </c>
      <c r="I109" s="414">
        <v>118089.66414766702</v>
      </c>
      <c r="J109" s="54">
        <f t="shared" si="47"/>
        <v>0</v>
      </c>
      <c r="K109" s="54"/>
      <c r="L109" s="324">
        <f t="shared" si="58"/>
        <v>118089.66414766702</v>
      </c>
      <c r="M109" s="63">
        <f t="shared" si="59"/>
        <v>0</v>
      </c>
      <c r="N109" s="324">
        <f t="shared" si="60"/>
        <v>118089.66414766702</v>
      </c>
      <c r="O109" s="54">
        <f t="shared" si="61"/>
        <v>0</v>
      </c>
      <c r="P109" s="54">
        <f t="shared" si="62"/>
        <v>0</v>
      </c>
    </row>
    <row r="110" spans="1:16" ht="12.5">
      <c r="B110" s="7" t="str">
        <f t="shared" si="46"/>
        <v/>
      </c>
      <c r="C110" s="50">
        <f>IF(D93="","-",+C109+1)</f>
        <v>2024</v>
      </c>
      <c r="D110" s="411">
        <v>781621</v>
      </c>
      <c r="E110" s="412">
        <v>27251</v>
      </c>
      <c r="F110" s="413">
        <v>754370</v>
      </c>
      <c r="G110" s="413">
        <v>767995.5</v>
      </c>
      <c r="H110" s="412">
        <v>130407.16465946536</v>
      </c>
      <c r="I110" s="414">
        <v>130407.16465946536</v>
      </c>
      <c r="J110" s="54">
        <f t="shared" si="47"/>
        <v>0</v>
      </c>
      <c r="K110" s="54"/>
      <c r="L110" s="324">
        <f t="shared" ref="L110" si="63">H110</f>
        <v>130407.16465946536</v>
      </c>
      <c r="M110" s="63">
        <f t="shared" ref="M110" si="64">IF(L110&lt;&gt;0,+H110-L110,0)</f>
        <v>0</v>
      </c>
      <c r="N110" s="324">
        <f t="shared" ref="N110" si="65">I110</f>
        <v>130407.16465946536</v>
      </c>
      <c r="O110" s="54">
        <f t="shared" ref="O110" si="66">IF(N110&lt;&gt;0,+I110-N110,0)</f>
        <v>0</v>
      </c>
      <c r="P110" s="54">
        <f t="shared" ref="P110" si="67">+O110-M110</f>
        <v>0</v>
      </c>
    </row>
    <row r="111" spans="1:16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754370</v>
      </c>
      <c r="E111" s="354">
        <f t="shared" ref="E111:E154" si="68">IF(+J$96&lt;F110,J$96,D111)</f>
        <v>27988</v>
      </c>
      <c r="F111" s="55">
        <f t="shared" ref="F111:F154" si="69">+D111-E111</f>
        <v>726382</v>
      </c>
      <c r="G111" s="55">
        <f t="shared" ref="G111:G154" si="70">+(F111+D111)/2</f>
        <v>740376</v>
      </c>
      <c r="H111" s="356">
        <f t="shared" ref="H111:H154" si="71">+J$94*G111+E111</f>
        <v>127434.34905532171</v>
      </c>
      <c r="I111" s="381">
        <f t="shared" ref="I111:I154" si="72">+J$95*G111+E111</f>
        <v>127434.34905532171</v>
      </c>
      <c r="J111" s="54">
        <f t="shared" si="47"/>
        <v>0</v>
      </c>
      <c r="K111" s="54"/>
      <c r="L111" s="115"/>
      <c r="M111" s="54">
        <f t="shared" ref="M111:M130" si="73">IF(L111&lt;&gt;0,+H111-L111,0)</f>
        <v>0</v>
      </c>
      <c r="N111" s="115"/>
      <c r="O111" s="54">
        <f t="shared" si="51"/>
        <v>0</v>
      </c>
      <c r="P111" s="54">
        <f t="shared" si="52"/>
        <v>0</v>
      </c>
    </row>
    <row r="112" spans="1:16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726382</v>
      </c>
      <c r="E112" s="354">
        <f t="shared" si="68"/>
        <v>27988</v>
      </c>
      <c r="F112" s="55">
        <f t="shared" si="69"/>
        <v>698394</v>
      </c>
      <c r="G112" s="55">
        <f t="shared" si="70"/>
        <v>712388</v>
      </c>
      <c r="H112" s="356">
        <f t="shared" si="71"/>
        <v>123675.03700663247</v>
      </c>
      <c r="I112" s="381">
        <f t="shared" si="72"/>
        <v>123675.03700663247</v>
      </c>
      <c r="J112" s="54">
        <f t="shared" si="47"/>
        <v>0</v>
      </c>
      <c r="K112" s="54"/>
      <c r="L112" s="115"/>
      <c r="M112" s="54">
        <f t="shared" si="73"/>
        <v>0</v>
      </c>
      <c r="N112" s="115"/>
      <c r="O112" s="54">
        <f t="shared" si="51"/>
        <v>0</v>
      </c>
      <c r="P112" s="54">
        <f t="shared" si="52"/>
        <v>0</v>
      </c>
    </row>
    <row r="113" spans="2:16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698394</v>
      </c>
      <c r="E113" s="354">
        <f t="shared" si="68"/>
        <v>27988</v>
      </c>
      <c r="F113" s="55">
        <f t="shared" si="69"/>
        <v>670406</v>
      </c>
      <c r="G113" s="55">
        <f t="shared" si="70"/>
        <v>684400</v>
      </c>
      <c r="H113" s="356">
        <f t="shared" si="71"/>
        <v>119915.72495794324</v>
      </c>
      <c r="I113" s="381">
        <f t="shared" si="72"/>
        <v>119915.72495794324</v>
      </c>
      <c r="J113" s="54">
        <f t="shared" si="47"/>
        <v>0</v>
      </c>
      <c r="K113" s="54"/>
      <c r="L113" s="115"/>
      <c r="M113" s="54">
        <f t="shared" si="73"/>
        <v>0</v>
      </c>
      <c r="N113" s="115"/>
      <c r="O113" s="54">
        <f t="shared" si="51"/>
        <v>0</v>
      </c>
      <c r="P113" s="54">
        <f t="shared" si="52"/>
        <v>0</v>
      </c>
    </row>
    <row r="114" spans="2:16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670406</v>
      </c>
      <c r="E114" s="354">
        <f t="shared" si="68"/>
        <v>27988</v>
      </c>
      <c r="F114" s="55">
        <f t="shared" si="69"/>
        <v>642418</v>
      </c>
      <c r="G114" s="55">
        <f t="shared" si="70"/>
        <v>656412</v>
      </c>
      <c r="H114" s="356">
        <f t="shared" si="71"/>
        <v>116156.412909254</v>
      </c>
      <c r="I114" s="381">
        <f t="shared" si="72"/>
        <v>116156.412909254</v>
      </c>
      <c r="J114" s="54">
        <f t="shared" si="47"/>
        <v>0</v>
      </c>
      <c r="K114" s="54"/>
      <c r="L114" s="115"/>
      <c r="M114" s="54">
        <f t="shared" si="73"/>
        <v>0</v>
      </c>
      <c r="N114" s="115"/>
      <c r="O114" s="54">
        <f t="shared" si="51"/>
        <v>0</v>
      </c>
      <c r="P114" s="54">
        <f t="shared" si="52"/>
        <v>0</v>
      </c>
    </row>
    <row r="115" spans="2:16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642418</v>
      </c>
      <c r="E115" s="354">
        <f t="shared" si="68"/>
        <v>27988</v>
      </c>
      <c r="F115" s="55">
        <f t="shared" si="69"/>
        <v>614430</v>
      </c>
      <c r="G115" s="55">
        <f t="shared" si="70"/>
        <v>628424</v>
      </c>
      <c r="H115" s="356">
        <f t="shared" si="71"/>
        <v>112397.10086056475</v>
      </c>
      <c r="I115" s="381">
        <f t="shared" si="72"/>
        <v>112397.10086056475</v>
      </c>
      <c r="J115" s="54">
        <f t="shared" si="47"/>
        <v>0</v>
      </c>
      <c r="K115" s="54"/>
      <c r="L115" s="115"/>
      <c r="M115" s="54">
        <f t="shared" si="73"/>
        <v>0</v>
      </c>
      <c r="N115" s="115"/>
      <c r="O115" s="54">
        <f t="shared" si="51"/>
        <v>0</v>
      </c>
      <c r="P115" s="54">
        <f t="shared" si="52"/>
        <v>0</v>
      </c>
    </row>
    <row r="116" spans="2:16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614430</v>
      </c>
      <c r="E116" s="354">
        <f t="shared" si="68"/>
        <v>27988</v>
      </c>
      <c r="F116" s="55">
        <f t="shared" si="69"/>
        <v>586442</v>
      </c>
      <c r="G116" s="55">
        <f t="shared" si="70"/>
        <v>600436</v>
      </c>
      <c r="H116" s="356">
        <f t="shared" si="71"/>
        <v>108637.78881187552</v>
      </c>
      <c r="I116" s="381">
        <f t="shared" si="72"/>
        <v>108637.78881187552</v>
      </c>
      <c r="J116" s="54">
        <f t="shared" si="47"/>
        <v>0</v>
      </c>
      <c r="K116" s="54"/>
      <c r="L116" s="115"/>
      <c r="M116" s="54">
        <f t="shared" si="73"/>
        <v>0</v>
      </c>
      <c r="N116" s="115"/>
      <c r="O116" s="54">
        <f t="shared" si="51"/>
        <v>0</v>
      </c>
      <c r="P116" s="54">
        <f t="shared" si="52"/>
        <v>0</v>
      </c>
    </row>
    <row r="117" spans="2:16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586442</v>
      </c>
      <c r="E117" s="354">
        <f t="shared" si="68"/>
        <v>27988</v>
      </c>
      <c r="F117" s="55">
        <f t="shared" si="69"/>
        <v>558454</v>
      </c>
      <c r="G117" s="55">
        <f t="shared" si="70"/>
        <v>572448</v>
      </c>
      <c r="H117" s="356">
        <f t="shared" si="71"/>
        <v>104878.47676318628</v>
      </c>
      <c r="I117" s="381">
        <f t="shared" si="72"/>
        <v>104878.47676318628</v>
      </c>
      <c r="J117" s="54">
        <f t="shared" si="47"/>
        <v>0</v>
      </c>
      <c r="K117" s="54"/>
      <c r="L117" s="115"/>
      <c r="M117" s="54">
        <f t="shared" si="73"/>
        <v>0</v>
      </c>
      <c r="N117" s="115"/>
      <c r="O117" s="54">
        <f t="shared" si="51"/>
        <v>0</v>
      </c>
      <c r="P117" s="54">
        <f t="shared" si="52"/>
        <v>0</v>
      </c>
    </row>
    <row r="118" spans="2:16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558454</v>
      </c>
      <c r="E118" s="354">
        <f t="shared" si="68"/>
        <v>27988</v>
      </c>
      <c r="F118" s="55">
        <f t="shared" si="69"/>
        <v>530466</v>
      </c>
      <c r="G118" s="55">
        <f t="shared" si="70"/>
        <v>544460</v>
      </c>
      <c r="H118" s="356">
        <f t="shared" si="71"/>
        <v>101119.16471449703</v>
      </c>
      <c r="I118" s="381">
        <f t="shared" si="72"/>
        <v>101119.16471449703</v>
      </c>
      <c r="J118" s="54">
        <f t="shared" si="47"/>
        <v>0</v>
      </c>
      <c r="K118" s="54"/>
      <c r="L118" s="115"/>
      <c r="M118" s="54">
        <f t="shared" si="73"/>
        <v>0</v>
      </c>
      <c r="N118" s="115"/>
      <c r="O118" s="54">
        <f t="shared" si="51"/>
        <v>0</v>
      </c>
      <c r="P118" s="54">
        <f t="shared" si="52"/>
        <v>0</v>
      </c>
    </row>
    <row r="119" spans="2:16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530466</v>
      </c>
      <c r="E119" s="354">
        <f t="shared" si="68"/>
        <v>27988</v>
      </c>
      <c r="F119" s="55">
        <f t="shared" si="69"/>
        <v>502478</v>
      </c>
      <c r="G119" s="55">
        <f t="shared" si="70"/>
        <v>516472</v>
      </c>
      <c r="H119" s="356">
        <f t="shared" si="71"/>
        <v>97359.852665807804</v>
      </c>
      <c r="I119" s="381">
        <f t="shared" si="72"/>
        <v>97359.852665807804</v>
      </c>
      <c r="J119" s="54">
        <f t="shared" si="47"/>
        <v>0</v>
      </c>
      <c r="K119" s="54"/>
      <c r="L119" s="115"/>
      <c r="M119" s="54">
        <f t="shared" si="73"/>
        <v>0</v>
      </c>
      <c r="N119" s="115"/>
      <c r="O119" s="54">
        <f t="shared" si="51"/>
        <v>0</v>
      </c>
      <c r="P119" s="54">
        <f t="shared" si="52"/>
        <v>0</v>
      </c>
    </row>
    <row r="120" spans="2:16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502478</v>
      </c>
      <c r="E120" s="354">
        <f t="shared" si="68"/>
        <v>27988</v>
      </c>
      <c r="F120" s="55">
        <f t="shared" si="69"/>
        <v>474490</v>
      </c>
      <c r="G120" s="55">
        <f t="shared" si="70"/>
        <v>488484</v>
      </c>
      <c r="H120" s="356">
        <f t="shared" si="71"/>
        <v>93600.54061711856</v>
      </c>
      <c r="I120" s="381">
        <f t="shared" si="72"/>
        <v>93600.54061711856</v>
      </c>
      <c r="J120" s="54">
        <f t="shared" si="47"/>
        <v>0</v>
      </c>
      <c r="K120" s="54"/>
      <c r="L120" s="115"/>
      <c r="M120" s="54">
        <f t="shared" si="73"/>
        <v>0</v>
      </c>
      <c r="N120" s="115"/>
      <c r="O120" s="54">
        <f t="shared" si="51"/>
        <v>0</v>
      </c>
      <c r="P120" s="54">
        <f t="shared" si="52"/>
        <v>0</v>
      </c>
    </row>
    <row r="121" spans="2:16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474490</v>
      </c>
      <c r="E121" s="354">
        <f t="shared" si="68"/>
        <v>27988</v>
      </c>
      <c r="F121" s="55">
        <f t="shared" si="69"/>
        <v>446502</v>
      </c>
      <c r="G121" s="55">
        <f t="shared" si="70"/>
        <v>460496</v>
      </c>
      <c r="H121" s="356">
        <f t="shared" si="71"/>
        <v>89841.228568429331</v>
      </c>
      <c r="I121" s="381">
        <f t="shared" si="72"/>
        <v>89841.228568429331</v>
      </c>
      <c r="J121" s="54">
        <f t="shared" si="47"/>
        <v>0</v>
      </c>
      <c r="K121" s="54"/>
      <c r="L121" s="115"/>
      <c r="M121" s="54">
        <f t="shared" si="73"/>
        <v>0</v>
      </c>
      <c r="N121" s="115"/>
      <c r="O121" s="54">
        <f t="shared" si="51"/>
        <v>0</v>
      </c>
      <c r="P121" s="54">
        <f t="shared" si="52"/>
        <v>0</v>
      </c>
    </row>
    <row r="122" spans="2:16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446502</v>
      </c>
      <c r="E122" s="354">
        <f t="shared" si="68"/>
        <v>27988</v>
      </c>
      <c r="F122" s="55">
        <f t="shared" si="69"/>
        <v>418514</v>
      </c>
      <c r="G122" s="55">
        <f t="shared" si="70"/>
        <v>432508</v>
      </c>
      <c r="H122" s="356">
        <f t="shared" si="71"/>
        <v>86081.916519740073</v>
      </c>
      <c r="I122" s="381">
        <f t="shared" si="72"/>
        <v>86081.916519740073</v>
      </c>
      <c r="J122" s="54">
        <f t="shared" si="47"/>
        <v>0</v>
      </c>
      <c r="K122" s="54"/>
      <c r="L122" s="115"/>
      <c r="M122" s="54">
        <f t="shared" si="73"/>
        <v>0</v>
      </c>
      <c r="N122" s="115"/>
      <c r="O122" s="54">
        <f t="shared" si="51"/>
        <v>0</v>
      </c>
      <c r="P122" s="54">
        <f t="shared" si="52"/>
        <v>0</v>
      </c>
    </row>
    <row r="123" spans="2:16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418514</v>
      </c>
      <c r="E123" s="354">
        <f t="shared" si="68"/>
        <v>27988</v>
      </c>
      <c r="F123" s="55">
        <f t="shared" si="69"/>
        <v>390526</v>
      </c>
      <c r="G123" s="55">
        <f t="shared" si="70"/>
        <v>404520</v>
      </c>
      <c r="H123" s="356">
        <f t="shared" si="71"/>
        <v>82322.604471050843</v>
      </c>
      <c r="I123" s="381">
        <f t="shared" si="72"/>
        <v>82322.604471050843</v>
      </c>
      <c r="J123" s="54">
        <f t="shared" si="47"/>
        <v>0</v>
      </c>
      <c r="K123" s="54"/>
      <c r="L123" s="115"/>
      <c r="M123" s="54">
        <f t="shared" si="73"/>
        <v>0</v>
      </c>
      <c r="N123" s="115"/>
      <c r="O123" s="54">
        <f t="shared" si="51"/>
        <v>0</v>
      </c>
      <c r="P123" s="54">
        <f t="shared" si="52"/>
        <v>0</v>
      </c>
    </row>
    <row r="124" spans="2:16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390526</v>
      </c>
      <c r="E124" s="354">
        <f t="shared" si="68"/>
        <v>27988</v>
      </c>
      <c r="F124" s="55">
        <f t="shared" si="69"/>
        <v>362538</v>
      </c>
      <c r="G124" s="55">
        <f t="shared" si="70"/>
        <v>376532</v>
      </c>
      <c r="H124" s="356">
        <f t="shared" si="71"/>
        <v>78563.292422361614</v>
      </c>
      <c r="I124" s="381">
        <f t="shared" si="72"/>
        <v>78563.292422361614</v>
      </c>
      <c r="J124" s="54">
        <f t="shared" si="47"/>
        <v>0</v>
      </c>
      <c r="K124" s="54"/>
      <c r="L124" s="115"/>
      <c r="M124" s="54">
        <f t="shared" si="73"/>
        <v>0</v>
      </c>
      <c r="N124" s="115"/>
      <c r="O124" s="54">
        <f t="shared" si="51"/>
        <v>0</v>
      </c>
      <c r="P124" s="54">
        <f t="shared" si="52"/>
        <v>0</v>
      </c>
    </row>
    <row r="125" spans="2:16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362538</v>
      </c>
      <c r="E125" s="354">
        <f t="shared" si="68"/>
        <v>27988</v>
      </c>
      <c r="F125" s="55">
        <f t="shared" si="69"/>
        <v>334550</v>
      </c>
      <c r="G125" s="55">
        <f t="shared" si="70"/>
        <v>348544</v>
      </c>
      <c r="H125" s="356">
        <f t="shared" si="71"/>
        <v>74803.980373672355</v>
      </c>
      <c r="I125" s="381">
        <f t="shared" si="72"/>
        <v>74803.980373672355</v>
      </c>
      <c r="J125" s="54">
        <f t="shared" si="47"/>
        <v>0</v>
      </c>
      <c r="K125" s="54"/>
      <c r="L125" s="115"/>
      <c r="M125" s="54">
        <f t="shared" si="73"/>
        <v>0</v>
      </c>
      <c r="N125" s="115"/>
      <c r="O125" s="54">
        <f t="shared" si="51"/>
        <v>0</v>
      </c>
      <c r="P125" s="54">
        <f t="shared" si="52"/>
        <v>0</v>
      </c>
    </row>
    <row r="126" spans="2:16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334550</v>
      </c>
      <c r="E126" s="354">
        <f t="shared" si="68"/>
        <v>27988</v>
      </c>
      <c r="F126" s="55">
        <f t="shared" si="69"/>
        <v>306562</v>
      </c>
      <c r="G126" s="55">
        <f t="shared" si="70"/>
        <v>320556</v>
      </c>
      <c r="H126" s="356">
        <f t="shared" si="71"/>
        <v>71044.668324983126</v>
      </c>
      <c r="I126" s="381">
        <f t="shared" si="72"/>
        <v>71044.668324983126</v>
      </c>
      <c r="J126" s="54">
        <f t="shared" si="47"/>
        <v>0</v>
      </c>
      <c r="K126" s="54"/>
      <c r="L126" s="115"/>
      <c r="M126" s="54">
        <f t="shared" si="73"/>
        <v>0</v>
      </c>
      <c r="N126" s="115"/>
      <c r="O126" s="54">
        <f t="shared" si="51"/>
        <v>0</v>
      </c>
      <c r="P126" s="54">
        <f t="shared" si="52"/>
        <v>0</v>
      </c>
    </row>
    <row r="127" spans="2:16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306562</v>
      </c>
      <c r="E127" s="354">
        <f t="shared" si="68"/>
        <v>27988</v>
      </c>
      <c r="F127" s="55">
        <f t="shared" si="69"/>
        <v>278574</v>
      </c>
      <c r="G127" s="55">
        <f t="shared" si="70"/>
        <v>292568</v>
      </c>
      <c r="H127" s="356">
        <f t="shared" si="71"/>
        <v>67285.356276293896</v>
      </c>
      <c r="I127" s="381">
        <f t="shared" si="72"/>
        <v>67285.356276293896</v>
      </c>
      <c r="J127" s="54">
        <f t="shared" si="47"/>
        <v>0</v>
      </c>
      <c r="K127" s="54"/>
      <c r="L127" s="115"/>
      <c r="M127" s="54">
        <f t="shared" si="73"/>
        <v>0</v>
      </c>
      <c r="N127" s="115"/>
      <c r="O127" s="54">
        <f t="shared" si="51"/>
        <v>0</v>
      </c>
      <c r="P127" s="54">
        <f t="shared" si="52"/>
        <v>0</v>
      </c>
    </row>
    <row r="128" spans="2:16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278574</v>
      </c>
      <c r="E128" s="354">
        <f t="shared" si="68"/>
        <v>27988</v>
      </c>
      <c r="F128" s="55">
        <f t="shared" si="69"/>
        <v>250586</v>
      </c>
      <c r="G128" s="55">
        <f t="shared" si="70"/>
        <v>264580</v>
      </c>
      <c r="H128" s="356">
        <f t="shared" si="71"/>
        <v>63526.044227604645</v>
      </c>
      <c r="I128" s="381">
        <f t="shared" si="72"/>
        <v>63526.044227604645</v>
      </c>
      <c r="J128" s="54">
        <f t="shared" si="47"/>
        <v>0</v>
      </c>
      <c r="K128" s="54"/>
      <c r="L128" s="115"/>
      <c r="M128" s="54">
        <f t="shared" si="73"/>
        <v>0</v>
      </c>
      <c r="N128" s="115"/>
      <c r="O128" s="54">
        <f t="shared" si="51"/>
        <v>0</v>
      </c>
      <c r="P128" s="54">
        <f t="shared" si="52"/>
        <v>0</v>
      </c>
    </row>
    <row r="129" spans="2:16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250586</v>
      </c>
      <c r="E129" s="354">
        <f t="shared" si="68"/>
        <v>27988</v>
      </c>
      <c r="F129" s="55">
        <f t="shared" si="69"/>
        <v>222598</v>
      </c>
      <c r="G129" s="55">
        <f t="shared" si="70"/>
        <v>236592</v>
      </c>
      <c r="H129" s="356">
        <f t="shared" si="71"/>
        <v>59766.732178915408</v>
      </c>
      <c r="I129" s="381">
        <f t="shared" si="72"/>
        <v>59766.732178915408</v>
      </c>
      <c r="J129" s="54">
        <f t="shared" si="47"/>
        <v>0</v>
      </c>
      <c r="K129" s="54"/>
      <c r="L129" s="115"/>
      <c r="M129" s="54">
        <f t="shared" si="73"/>
        <v>0</v>
      </c>
      <c r="N129" s="115"/>
      <c r="O129" s="54">
        <f t="shared" si="51"/>
        <v>0</v>
      </c>
      <c r="P129" s="54">
        <f t="shared" si="52"/>
        <v>0</v>
      </c>
    </row>
    <row r="130" spans="2:16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222598</v>
      </c>
      <c r="E130" s="354">
        <f t="shared" si="68"/>
        <v>27988</v>
      </c>
      <c r="F130" s="55">
        <f t="shared" si="69"/>
        <v>194610</v>
      </c>
      <c r="G130" s="55">
        <f t="shared" si="70"/>
        <v>208604</v>
      </c>
      <c r="H130" s="356">
        <f t="shared" si="71"/>
        <v>56007.420130226172</v>
      </c>
      <c r="I130" s="381">
        <f t="shared" si="72"/>
        <v>56007.420130226172</v>
      </c>
      <c r="J130" s="54">
        <f t="shared" si="47"/>
        <v>0</v>
      </c>
      <c r="K130" s="54"/>
      <c r="L130" s="115"/>
      <c r="M130" s="54">
        <f t="shared" si="73"/>
        <v>0</v>
      </c>
      <c r="N130" s="115"/>
      <c r="O130" s="54">
        <f t="shared" si="51"/>
        <v>0</v>
      </c>
      <c r="P130" s="54">
        <f t="shared" si="52"/>
        <v>0</v>
      </c>
    </row>
    <row r="131" spans="2:16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194610</v>
      </c>
      <c r="E131" s="354">
        <f t="shared" si="68"/>
        <v>27988</v>
      </c>
      <c r="F131" s="55">
        <f t="shared" si="69"/>
        <v>166622</v>
      </c>
      <c r="G131" s="55">
        <f t="shared" si="70"/>
        <v>180616</v>
      </c>
      <c r="H131" s="356">
        <f t="shared" si="71"/>
        <v>52248.108081536935</v>
      </c>
      <c r="I131" s="381">
        <f t="shared" si="72"/>
        <v>52248.108081536935</v>
      </c>
      <c r="J131" s="54">
        <f t="shared" si="47"/>
        <v>0</v>
      </c>
      <c r="K131" s="54"/>
      <c r="L131" s="115"/>
      <c r="M131" s="54">
        <f t="shared" ref="M131:M154" si="74">IF(L540&lt;&gt;0,+H540-L540,0)</f>
        <v>0</v>
      </c>
      <c r="N131" s="115"/>
      <c r="O131" s="54">
        <f t="shared" ref="O131:O154" si="75">IF(N540&lt;&gt;0,+I540-N540,0)</f>
        <v>0</v>
      </c>
      <c r="P131" s="54">
        <f t="shared" ref="P131:P154" si="76">+O540-M540</f>
        <v>0</v>
      </c>
    </row>
    <row r="132" spans="2:16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166622</v>
      </c>
      <c r="E132" s="354">
        <f t="shared" si="68"/>
        <v>27988</v>
      </c>
      <c r="F132" s="55">
        <f t="shared" si="69"/>
        <v>138634</v>
      </c>
      <c r="G132" s="55">
        <f t="shared" si="70"/>
        <v>152628</v>
      </c>
      <c r="H132" s="356">
        <f t="shared" si="71"/>
        <v>48488.796032847691</v>
      </c>
      <c r="I132" s="381">
        <f t="shared" si="72"/>
        <v>48488.796032847691</v>
      </c>
      <c r="J132" s="54">
        <f t="shared" si="47"/>
        <v>0</v>
      </c>
      <c r="K132" s="54"/>
      <c r="L132" s="115"/>
      <c r="M132" s="54">
        <f t="shared" si="74"/>
        <v>0</v>
      </c>
      <c r="N132" s="115"/>
      <c r="O132" s="54">
        <f t="shared" si="75"/>
        <v>0</v>
      </c>
      <c r="P132" s="54">
        <f t="shared" si="76"/>
        <v>0</v>
      </c>
    </row>
    <row r="133" spans="2:16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138634</v>
      </c>
      <c r="E133" s="354">
        <f t="shared" si="68"/>
        <v>27988</v>
      </c>
      <c r="F133" s="55">
        <f t="shared" si="69"/>
        <v>110646</v>
      </c>
      <c r="G133" s="55">
        <f t="shared" si="70"/>
        <v>124640</v>
      </c>
      <c r="H133" s="356">
        <f t="shared" si="71"/>
        <v>44729.483984158447</v>
      </c>
      <c r="I133" s="381">
        <f t="shared" si="72"/>
        <v>44729.483984158447</v>
      </c>
      <c r="J133" s="54">
        <f t="shared" si="47"/>
        <v>0</v>
      </c>
      <c r="K133" s="54"/>
      <c r="L133" s="115"/>
      <c r="M133" s="54">
        <f t="shared" si="74"/>
        <v>0</v>
      </c>
      <c r="N133" s="115"/>
      <c r="O133" s="54">
        <f t="shared" si="75"/>
        <v>0</v>
      </c>
      <c r="P133" s="54">
        <f t="shared" si="76"/>
        <v>0</v>
      </c>
    </row>
    <row r="134" spans="2:16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110646</v>
      </c>
      <c r="E134" s="354">
        <f t="shared" si="68"/>
        <v>27988</v>
      </c>
      <c r="F134" s="55">
        <f t="shared" si="69"/>
        <v>82658</v>
      </c>
      <c r="G134" s="55">
        <f t="shared" si="70"/>
        <v>96652</v>
      </c>
      <c r="H134" s="356">
        <f t="shared" si="71"/>
        <v>40970.171935469218</v>
      </c>
      <c r="I134" s="381">
        <f t="shared" si="72"/>
        <v>40970.171935469218</v>
      </c>
      <c r="J134" s="54">
        <f t="shared" si="47"/>
        <v>0</v>
      </c>
      <c r="K134" s="54"/>
      <c r="L134" s="115"/>
      <c r="M134" s="54">
        <f t="shared" si="74"/>
        <v>0</v>
      </c>
      <c r="N134" s="115"/>
      <c r="O134" s="54">
        <f t="shared" si="75"/>
        <v>0</v>
      </c>
      <c r="P134" s="54">
        <f t="shared" si="76"/>
        <v>0</v>
      </c>
    </row>
    <row r="135" spans="2:16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82658</v>
      </c>
      <c r="E135" s="354">
        <f t="shared" si="68"/>
        <v>27988</v>
      </c>
      <c r="F135" s="55">
        <f t="shared" si="69"/>
        <v>54670</v>
      </c>
      <c r="G135" s="55">
        <f t="shared" si="70"/>
        <v>68664</v>
      </c>
      <c r="H135" s="356">
        <f t="shared" si="71"/>
        <v>37210.859886779974</v>
      </c>
      <c r="I135" s="381">
        <f t="shared" si="72"/>
        <v>37210.859886779974</v>
      </c>
      <c r="J135" s="54">
        <f t="shared" si="47"/>
        <v>0</v>
      </c>
      <c r="K135" s="54"/>
      <c r="L135" s="115"/>
      <c r="M135" s="54">
        <f t="shared" si="74"/>
        <v>0</v>
      </c>
      <c r="N135" s="115"/>
      <c r="O135" s="54">
        <f t="shared" si="75"/>
        <v>0</v>
      </c>
      <c r="P135" s="54">
        <f t="shared" si="76"/>
        <v>0</v>
      </c>
    </row>
    <row r="136" spans="2:16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54670</v>
      </c>
      <c r="E136" s="354">
        <f t="shared" si="68"/>
        <v>27988</v>
      </c>
      <c r="F136" s="55">
        <f t="shared" si="69"/>
        <v>26682</v>
      </c>
      <c r="G136" s="55">
        <f t="shared" si="70"/>
        <v>40676</v>
      </c>
      <c r="H136" s="356">
        <f t="shared" si="71"/>
        <v>33451.547838090737</v>
      </c>
      <c r="I136" s="381">
        <f t="shared" si="72"/>
        <v>33451.547838090737</v>
      </c>
      <c r="J136" s="54">
        <f t="shared" si="47"/>
        <v>0</v>
      </c>
      <c r="K136" s="54"/>
      <c r="L136" s="115"/>
      <c r="M136" s="54">
        <f t="shared" si="74"/>
        <v>0</v>
      </c>
      <c r="N136" s="115"/>
      <c r="O136" s="54">
        <f t="shared" si="75"/>
        <v>0</v>
      </c>
      <c r="P136" s="54">
        <f t="shared" si="76"/>
        <v>0</v>
      </c>
    </row>
    <row r="137" spans="2:16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26682</v>
      </c>
      <c r="E137" s="354">
        <f t="shared" si="68"/>
        <v>26682</v>
      </c>
      <c r="F137" s="55">
        <f t="shared" si="69"/>
        <v>0</v>
      </c>
      <c r="G137" s="55">
        <f t="shared" si="70"/>
        <v>13341</v>
      </c>
      <c r="H137" s="356">
        <f t="shared" si="71"/>
        <v>28473.945906873058</v>
      </c>
      <c r="I137" s="381">
        <f t="shared" si="72"/>
        <v>28473.945906873058</v>
      </c>
      <c r="J137" s="54">
        <f t="shared" si="47"/>
        <v>0</v>
      </c>
      <c r="K137" s="54"/>
      <c r="L137" s="115"/>
      <c r="M137" s="54">
        <f t="shared" si="74"/>
        <v>0</v>
      </c>
      <c r="N137" s="115"/>
      <c r="O137" s="54">
        <f t="shared" si="75"/>
        <v>0</v>
      </c>
      <c r="P137" s="54">
        <f t="shared" si="76"/>
        <v>0</v>
      </c>
    </row>
    <row r="138" spans="2:16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0</v>
      </c>
      <c r="E138" s="354">
        <f t="shared" si="68"/>
        <v>0</v>
      </c>
      <c r="F138" s="55">
        <f t="shared" si="69"/>
        <v>0</v>
      </c>
      <c r="G138" s="55">
        <f t="shared" si="70"/>
        <v>0</v>
      </c>
      <c r="H138" s="356">
        <f t="shared" si="71"/>
        <v>0</v>
      </c>
      <c r="I138" s="381">
        <f t="shared" si="72"/>
        <v>0</v>
      </c>
      <c r="J138" s="54">
        <f t="shared" si="47"/>
        <v>0</v>
      </c>
      <c r="K138" s="54"/>
      <c r="L138" s="115"/>
      <c r="M138" s="54">
        <f t="shared" si="74"/>
        <v>0</v>
      </c>
      <c r="N138" s="115"/>
      <c r="O138" s="54">
        <f t="shared" si="75"/>
        <v>0</v>
      </c>
      <c r="P138" s="54">
        <f t="shared" si="76"/>
        <v>0</v>
      </c>
    </row>
    <row r="139" spans="2:16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0</v>
      </c>
      <c r="E139" s="354">
        <f t="shared" si="68"/>
        <v>0</v>
      </c>
      <c r="F139" s="55">
        <f t="shared" si="69"/>
        <v>0</v>
      </c>
      <c r="G139" s="55">
        <f t="shared" si="70"/>
        <v>0</v>
      </c>
      <c r="H139" s="356">
        <f t="shared" si="71"/>
        <v>0</v>
      </c>
      <c r="I139" s="381">
        <f t="shared" si="72"/>
        <v>0</v>
      </c>
      <c r="J139" s="54">
        <f t="shared" si="47"/>
        <v>0</v>
      </c>
      <c r="K139" s="54"/>
      <c r="L139" s="115"/>
      <c r="M139" s="54">
        <f t="shared" si="74"/>
        <v>0</v>
      </c>
      <c r="N139" s="115"/>
      <c r="O139" s="54">
        <f t="shared" si="75"/>
        <v>0</v>
      </c>
      <c r="P139" s="54">
        <f t="shared" si="76"/>
        <v>0</v>
      </c>
    </row>
    <row r="140" spans="2:16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0</v>
      </c>
      <c r="E140" s="354">
        <f t="shared" si="68"/>
        <v>0</v>
      </c>
      <c r="F140" s="55">
        <f t="shared" si="69"/>
        <v>0</v>
      </c>
      <c r="G140" s="55">
        <f t="shared" si="70"/>
        <v>0</v>
      </c>
      <c r="H140" s="356">
        <f t="shared" si="71"/>
        <v>0</v>
      </c>
      <c r="I140" s="381">
        <f t="shared" si="72"/>
        <v>0</v>
      </c>
      <c r="J140" s="54">
        <f t="shared" si="47"/>
        <v>0</v>
      </c>
      <c r="K140" s="54"/>
      <c r="L140" s="115"/>
      <c r="M140" s="54">
        <f t="shared" si="74"/>
        <v>0</v>
      </c>
      <c r="N140" s="115"/>
      <c r="O140" s="54">
        <f t="shared" si="75"/>
        <v>0</v>
      </c>
      <c r="P140" s="54">
        <f t="shared" si="76"/>
        <v>0</v>
      </c>
    </row>
    <row r="141" spans="2:16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0</v>
      </c>
      <c r="E141" s="354">
        <f t="shared" si="68"/>
        <v>0</v>
      </c>
      <c r="F141" s="55">
        <f t="shared" si="69"/>
        <v>0</v>
      </c>
      <c r="G141" s="55">
        <f t="shared" si="70"/>
        <v>0</v>
      </c>
      <c r="H141" s="356">
        <f t="shared" si="71"/>
        <v>0</v>
      </c>
      <c r="I141" s="381">
        <f t="shared" si="72"/>
        <v>0</v>
      </c>
      <c r="J141" s="54">
        <f t="shared" si="47"/>
        <v>0</v>
      </c>
      <c r="K141" s="54"/>
      <c r="L141" s="115"/>
      <c r="M141" s="54">
        <f t="shared" si="74"/>
        <v>0</v>
      </c>
      <c r="N141" s="115"/>
      <c r="O141" s="54">
        <f t="shared" si="75"/>
        <v>0</v>
      </c>
      <c r="P141" s="54">
        <f t="shared" si="76"/>
        <v>0</v>
      </c>
    </row>
    <row r="142" spans="2:16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0</v>
      </c>
      <c r="E142" s="354">
        <f t="shared" si="68"/>
        <v>0</v>
      </c>
      <c r="F142" s="55">
        <f t="shared" si="69"/>
        <v>0</v>
      </c>
      <c r="G142" s="55">
        <f t="shared" si="70"/>
        <v>0</v>
      </c>
      <c r="H142" s="356">
        <f t="shared" si="71"/>
        <v>0</v>
      </c>
      <c r="I142" s="381">
        <f t="shared" si="72"/>
        <v>0</v>
      </c>
      <c r="J142" s="54">
        <f t="shared" si="47"/>
        <v>0</v>
      </c>
      <c r="K142" s="54"/>
      <c r="L142" s="115"/>
      <c r="M142" s="54">
        <f t="shared" si="74"/>
        <v>0</v>
      </c>
      <c r="N142" s="115"/>
      <c r="O142" s="54">
        <f t="shared" si="75"/>
        <v>0</v>
      </c>
      <c r="P142" s="54">
        <f t="shared" si="76"/>
        <v>0</v>
      </c>
    </row>
    <row r="143" spans="2:16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0</v>
      </c>
      <c r="E143" s="354">
        <f t="shared" si="68"/>
        <v>0</v>
      </c>
      <c r="F143" s="55">
        <f t="shared" si="69"/>
        <v>0</v>
      </c>
      <c r="G143" s="55">
        <f t="shared" si="70"/>
        <v>0</v>
      </c>
      <c r="H143" s="356">
        <f t="shared" si="71"/>
        <v>0</v>
      </c>
      <c r="I143" s="381">
        <f t="shared" si="72"/>
        <v>0</v>
      </c>
      <c r="J143" s="54">
        <f t="shared" si="47"/>
        <v>0</v>
      </c>
      <c r="K143" s="54"/>
      <c r="L143" s="115"/>
      <c r="M143" s="54">
        <f t="shared" si="74"/>
        <v>0</v>
      </c>
      <c r="N143" s="115"/>
      <c r="O143" s="54">
        <f t="shared" si="75"/>
        <v>0</v>
      </c>
      <c r="P143" s="54">
        <f t="shared" si="76"/>
        <v>0</v>
      </c>
    </row>
    <row r="144" spans="2:16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54">
        <f t="shared" si="68"/>
        <v>0</v>
      </c>
      <c r="F144" s="55">
        <f t="shared" si="69"/>
        <v>0</v>
      </c>
      <c r="G144" s="55">
        <f t="shared" si="70"/>
        <v>0</v>
      </c>
      <c r="H144" s="356">
        <f t="shared" si="71"/>
        <v>0</v>
      </c>
      <c r="I144" s="381">
        <f t="shared" si="72"/>
        <v>0</v>
      </c>
      <c r="J144" s="54">
        <f t="shared" si="47"/>
        <v>0</v>
      </c>
      <c r="K144" s="54"/>
      <c r="L144" s="115"/>
      <c r="M144" s="54">
        <f t="shared" si="74"/>
        <v>0</v>
      </c>
      <c r="N144" s="115"/>
      <c r="O144" s="54">
        <f t="shared" si="75"/>
        <v>0</v>
      </c>
      <c r="P144" s="54">
        <f t="shared" si="76"/>
        <v>0</v>
      </c>
    </row>
    <row r="145" spans="2:16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54">
        <f t="shared" si="68"/>
        <v>0</v>
      </c>
      <c r="F145" s="55">
        <f t="shared" si="69"/>
        <v>0</v>
      </c>
      <c r="G145" s="55">
        <f t="shared" si="70"/>
        <v>0</v>
      </c>
      <c r="H145" s="356">
        <f t="shared" si="71"/>
        <v>0</v>
      </c>
      <c r="I145" s="381">
        <f t="shared" si="72"/>
        <v>0</v>
      </c>
      <c r="J145" s="54">
        <f t="shared" si="47"/>
        <v>0</v>
      </c>
      <c r="K145" s="54"/>
      <c r="L145" s="115"/>
      <c r="M145" s="54">
        <f t="shared" si="74"/>
        <v>0</v>
      </c>
      <c r="N145" s="115"/>
      <c r="O145" s="54">
        <f t="shared" si="75"/>
        <v>0</v>
      </c>
      <c r="P145" s="54">
        <f t="shared" si="76"/>
        <v>0</v>
      </c>
    </row>
    <row r="146" spans="2:16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54">
        <f t="shared" si="68"/>
        <v>0</v>
      </c>
      <c r="F146" s="55">
        <f t="shared" si="69"/>
        <v>0</v>
      </c>
      <c r="G146" s="55">
        <f t="shared" si="70"/>
        <v>0</v>
      </c>
      <c r="H146" s="356">
        <f t="shared" si="71"/>
        <v>0</v>
      </c>
      <c r="I146" s="381">
        <f t="shared" si="72"/>
        <v>0</v>
      </c>
      <c r="J146" s="54">
        <f t="shared" si="47"/>
        <v>0</v>
      </c>
      <c r="K146" s="54"/>
      <c r="L146" s="115"/>
      <c r="M146" s="54">
        <f t="shared" si="74"/>
        <v>0</v>
      </c>
      <c r="N146" s="115"/>
      <c r="O146" s="54">
        <f t="shared" si="75"/>
        <v>0</v>
      </c>
      <c r="P146" s="54">
        <f t="shared" si="76"/>
        <v>0</v>
      </c>
    </row>
    <row r="147" spans="2:16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54">
        <f t="shared" si="68"/>
        <v>0</v>
      </c>
      <c r="F147" s="55">
        <f t="shared" si="69"/>
        <v>0</v>
      </c>
      <c r="G147" s="55">
        <f t="shared" si="70"/>
        <v>0</v>
      </c>
      <c r="H147" s="356">
        <f t="shared" si="71"/>
        <v>0</v>
      </c>
      <c r="I147" s="381">
        <f t="shared" si="72"/>
        <v>0</v>
      </c>
      <c r="J147" s="54">
        <f t="shared" si="47"/>
        <v>0</v>
      </c>
      <c r="K147" s="54"/>
      <c r="L147" s="115"/>
      <c r="M147" s="54">
        <f t="shared" si="74"/>
        <v>0</v>
      </c>
      <c r="N147" s="115"/>
      <c r="O147" s="54">
        <f t="shared" si="75"/>
        <v>0</v>
      </c>
      <c r="P147" s="54">
        <f t="shared" si="76"/>
        <v>0</v>
      </c>
    </row>
    <row r="148" spans="2:16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54">
        <f t="shared" si="68"/>
        <v>0</v>
      </c>
      <c r="F148" s="55">
        <f t="shared" si="69"/>
        <v>0</v>
      </c>
      <c r="G148" s="55">
        <f t="shared" si="70"/>
        <v>0</v>
      </c>
      <c r="H148" s="356">
        <f t="shared" si="71"/>
        <v>0</v>
      </c>
      <c r="I148" s="381">
        <f t="shared" si="72"/>
        <v>0</v>
      </c>
      <c r="J148" s="54">
        <f t="shared" si="47"/>
        <v>0</v>
      </c>
      <c r="K148" s="54"/>
      <c r="L148" s="115"/>
      <c r="M148" s="54">
        <f t="shared" si="74"/>
        <v>0</v>
      </c>
      <c r="N148" s="115"/>
      <c r="O148" s="54">
        <f t="shared" si="75"/>
        <v>0</v>
      </c>
      <c r="P148" s="54">
        <f t="shared" si="76"/>
        <v>0</v>
      </c>
    </row>
    <row r="149" spans="2:16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54">
        <f t="shared" si="68"/>
        <v>0</v>
      </c>
      <c r="F149" s="55">
        <f t="shared" si="69"/>
        <v>0</v>
      </c>
      <c r="G149" s="55">
        <f t="shared" si="70"/>
        <v>0</v>
      </c>
      <c r="H149" s="356">
        <f t="shared" si="71"/>
        <v>0</v>
      </c>
      <c r="I149" s="381">
        <f t="shared" si="72"/>
        <v>0</v>
      </c>
      <c r="J149" s="54">
        <f t="shared" si="47"/>
        <v>0</v>
      </c>
      <c r="K149" s="54"/>
      <c r="L149" s="115"/>
      <c r="M149" s="54">
        <f t="shared" si="74"/>
        <v>0</v>
      </c>
      <c r="N149" s="115"/>
      <c r="O149" s="54">
        <f t="shared" si="75"/>
        <v>0</v>
      </c>
      <c r="P149" s="54">
        <f t="shared" si="76"/>
        <v>0</v>
      </c>
    </row>
    <row r="150" spans="2:16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54">
        <f t="shared" si="68"/>
        <v>0</v>
      </c>
      <c r="F150" s="55">
        <f t="shared" si="69"/>
        <v>0</v>
      </c>
      <c r="G150" s="55">
        <f t="shared" si="70"/>
        <v>0</v>
      </c>
      <c r="H150" s="356">
        <f t="shared" si="71"/>
        <v>0</v>
      </c>
      <c r="I150" s="381">
        <f t="shared" si="72"/>
        <v>0</v>
      </c>
      <c r="J150" s="54">
        <f t="shared" si="47"/>
        <v>0</v>
      </c>
      <c r="K150" s="54"/>
      <c r="L150" s="115"/>
      <c r="M150" s="54">
        <f t="shared" si="74"/>
        <v>0</v>
      </c>
      <c r="N150" s="115"/>
      <c r="O150" s="54">
        <f t="shared" si="75"/>
        <v>0</v>
      </c>
      <c r="P150" s="54">
        <f t="shared" si="76"/>
        <v>0</v>
      </c>
    </row>
    <row r="151" spans="2:16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54">
        <f t="shared" si="68"/>
        <v>0</v>
      </c>
      <c r="F151" s="55">
        <f t="shared" si="69"/>
        <v>0</v>
      </c>
      <c r="G151" s="55">
        <f t="shared" si="70"/>
        <v>0</v>
      </c>
      <c r="H151" s="356">
        <f t="shared" si="71"/>
        <v>0</v>
      </c>
      <c r="I151" s="381">
        <f t="shared" si="72"/>
        <v>0</v>
      </c>
      <c r="J151" s="54">
        <f t="shared" si="47"/>
        <v>0</v>
      </c>
      <c r="K151" s="54"/>
      <c r="L151" s="115"/>
      <c r="M151" s="54">
        <f t="shared" si="74"/>
        <v>0</v>
      </c>
      <c r="N151" s="115"/>
      <c r="O151" s="54">
        <f t="shared" si="75"/>
        <v>0</v>
      </c>
      <c r="P151" s="54">
        <f t="shared" si="76"/>
        <v>0</v>
      </c>
    </row>
    <row r="152" spans="2:16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54">
        <f t="shared" si="68"/>
        <v>0</v>
      </c>
      <c r="F152" s="55">
        <f t="shared" si="69"/>
        <v>0</v>
      </c>
      <c r="G152" s="55">
        <f t="shared" si="70"/>
        <v>0</v>
      </c>
      <c r="H152" s="356">
        <f t="shared" si="71"/>
        <v>0</v>
      </c>
      <c r="I152" s="381">
        <f t="shared" si="72"/>
        <v>0</v>
      </c>
      <c r="J152" s="54">
        <f t="shared" si="47"/>
        <v>0</v>
      </c>
      <c r="K152" s="54"/>
      <c r="L152" s="115"/>
      <c r="M152" s="54">
        <f t="shared" si="74"/>
        <v>0</v>
      </c>
      <c r="N152" s="115"/>
      <c r="O152" s="54">
        <f t="shared" si="75"/>
        <v>0</v>
      </c>
      <c r="P152" s="54">
        <f t="shared" si="76"/>
        <v>0</v>
      </c>
    </row>
    <row r="153" spans="2:16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54">
        <f t="shared" si="68"/>
        <v>0</v>
      </c>
      <c r="F153" s="55">
        <f t="shared" si="69"/>
        <v>0</v>
      </c>
      <c r="G153" s="55">
        <f t="shared" si="70"/>
        <v>0</v>
      </c>
      <c r="H153" s="356">
        <f t="shared" si="71"/>
        <v>0</v>
      </c>
      <c r="I153" s="381">
        <f t="shared" si="72"/>
        <v>0</v>
      </c>
      <c r="J153" s="54">
        <f t="shared" si="47"/>
        <v>0</v>
      </c>
      <c r="K153" s="54"/>
      <c r="L153" s="115"/>
      <c r="M153" s="54">
        <f t="shared" si="74"/>
        <v>0</v>
      </c>
      <c r="N153" s="115"/>
      <c r="O153" s="54">
        <f t="shared" si="75"/>
        <v>0</v>
      </c>
      <c r="P153" s="54">
        <f t="shared" si="76"/>
        <v>0</v>
      </c>
    </row>
    <row r="154" spans="2:16" ht="13" thickBot="1">
      <c r="B154" s="7" t="str">
        <f t="shared" si="46"/>
        <v/>
      </c>
      <c r="C154" s="58">
        <f>IF(D93="","-",+C153+1)</f>
        <v>2068</v>
      </c>
      <c r="D154" s="12">
        <f>IF(F153+SUM(E$99:E153)=D$92,F153,D$92-SUM(E$99:E153))</f>
        <v>0</v>
      </c>
      <c r="E154" s="354">
        <f t="shared" si="68"/>
        <v>0</v>
      </c>
      <c r="F154" s="55">
        <f t="shared" si="69"/>
        <v>0</v>
      </c>
      <c r="G154" s="55">
        <f t="shared" si="70"/>
        <v>0</v>
      </c>
      <c r="H154" s="356">
        <f t="shared" si="71"/>
        <v>0</v>
      </c>
      <c r="I154" s="381">
        <f t="shared" si="72"/>
        <v>0</v>
      </c>
      <c r="J154" s="54">
        <f t="shared" si="47"/>
        <v>0</v>
      </c>
      <c r="K154" s="54"/>
      <c r="L154" s="116"/>
      <c r="M154" s="62">
        <f t="shared" si="74"/>
        <v>0</v>
      </c>
      <c r="N154" s="116"/>
      <c r="O154" s="62">
        <f t="shared" si="75"/>
        <v>0</v>
      </c>
      <c r="P154" s="62">
        <f t="shared" si="76"/>
        <v>0</v>
      </c>
    </row>
    <row r="155" spans="2:16" ht="12.5">
      <c r="C155" s="12" t="s">
        <v>77</v>
      </c>
      <c r="D155" s="267"/>
      <c r="E155" s="267">
        <f>SUM(E99:E154)</f>
        <v>1035552</v>
      </c>
      <c r="F155" s="267"/>
      <c r="G155" s="267"/>
      <c r="H155" s="267">
        <f>SUM(H99:H154)</f>
        <v>3664965.8380478192</v>
      </c>
      <c r="I155" s="267">
        <f>SUM(I99:I154)</f>
        <v>3664965.8380478192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V162"/>
  <sheetViews>
    <sheetView topLeftCell="A128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15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243949.81578947368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243949.81578947368</v>
      </c>
      <c r="O6" s="1"/>
      <c r="P6" s="1"/>
    </row>
    <row r="7" spans="1:16" ht="13.5" thickBot="1">
      <c r="C7" s="26" t="s">
        <v>46</v>
      </c>
      <c r="D7" s="88" t="s">
        <v>253</v>
      </c>
      <c r="E7" s="426"/>
      <c r="F7" s="426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252</v>
      </c>
      <c r="E9" s="404" t="s">
        <v>261</v>
      </c>
      <c r="F9" s="32"/>
      <c r="G9" s="452" t="s">
        <v>401</v>
      </c>
      <c r="H9" s="32"/>
      <c r="I9" s="33"/>
      <c r="J9" s="34"/>
      <c r="P9" s="1"/>
    </row>
    <row r="10" spans="1:16" ht="13">
      <c r="C10" s="128" t="s">
        <v>226</v>
      </c>
      <c r="D10" s="336">
        <v>2246629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59121.815789473687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2014</v>
      </c>
      <c r="D17" s="411">
        <v>2295000</v>
      </c>
      <c r="E17" s="433">
        <v>36778.846153846156</v>
      </c>
      <c r="F17" s="411">
        <v>2258221.153846154</v>
      </c>
      <c r="G17" s="433">
        <v>347642.78736560291</v>
      </c>
      <c r="H17" s="414">
        <v>347642.78736560291</v>
      </c>
      <c r="I17" s="52">
        <v>0</v>
      </c>
      <c r="J17" s="52"/>
      <c r="K17" s="324">
        <f t="shared" ref="K17:K22" si="0">G17</f>
        <v>347642.78736560291</v>
      </c>
      <c r="L17" s="63">
        <f t="shared" ref="L17:L22" si="1">IF(K17&lt;&gt;0,+G17-K17,0)</f>
        <v>0</v>
      </c>
      <c r="M17" s="324">
        <f t="shared" ref="M17:M22" si="2">H17</f>
        <v>347642.78736560291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11">
        <v>2258221.153846154</v>
      </c>
      <c r="E18" s="412">
        <v>43204.395576923074</v>
      </c>
      <c r="F18" s="411">
        <v>2215016.7582692308</v>
      </c>
      <c r="G18" s="412">
        <v>348592.42580485216</v>
      </c>
      <c r="H18" s="414">
        <v>348592.42580485216</v>
      </c>
      <c r="I18" s="52">
        <v>0</v>
      </c>
      <c r="J18" s="52"/>
      <c r="K18" s="324">
        <f t="shared" si="0"/>
        <v>348592.42580485216</v>
      </c>
      <c r="L18" s="63">
        <f t="shared" si="1"/>
        <v>0</v>
      </c>
      <c r="M18" s="324">
        <f t="shared" si="2"/>
        <v>348592.42580485216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11">
        <v>2166645.3282692307</v>
      </c>
      <c r="E19" s="412">
        <v>43204.395576923074</v>
      </c>
      <c r="F19" s="411">
        <v>2123440.9326923075</v>
      </c>
      <c r="G19" s="412">
        <v>321714.3955769231</v>
      </c>
      <c r="H19" s="414">
        <v>321714.3955769231</v>
      </c>
      <c r="I19" s="52">
        <f>H19-G19</f>
        <v>0</v>
      </c>
      <c r="J19" s="52"/>
      <c r="K19" s="324">
        <f t="shared" si="0"/>
        <v>321714.3955769231</v>
      </c>
      <c r="L19" s="63">
        <f t="shared" si="1"/>
        <v>0</v>
      </c>
      <c r="M19" s="324">
        <f t="shared" si="2"/>
        <v>321714.3955769231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11">
        <v>2123440.9326923075</v>
      </c>
      <c r="E20" s="412">
        <v>48839.751521739126</v>
      </c>
      <c r="F20" s="411">
        <v>2074601.1811705683</v>
      </c>
      <c r="G20" s="412">
        <v>312854.75152173912</v>
      </c>
      <c r="H20" s="414">
        <v>312854.75152173912</v>
      </c>
      <c r="I20" s="52">
        <f t="shared" ref="I20:I72" si="4">H20-G20</f>
        <v>0</v>
      </c>
      <c r="J20" s="52"/>
      <c r="K20" s="324">
        <f t="shared" si="0"/>
        <v>312854.75152173912</v>
      </c>
      <c r="L20" s="63">
        <f t="shared" si="1"/>
        <v>0</v>
      </c>
      <c r="M20" s="324">
        <f t="shared" si="2"/>
        <v>312854.75152173912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11">
        <v>2074601.1811705683</v>
      </c>
      <c r="E21" s="412">
        <v>49925.079333333328</v>
      </c>
      <c r="F21" s="411">
        <v>2024676.101837235</v>
      </c>
      <c r="G21" s="412">
        <v>295387.63187355472</v>
      </c>
      <c r="H21" s="414">
        <v>295387.63187355472</v>
      </c>
      <c r="I21" s="52">
        <f t="shared" si="4"/>
        <v>0</v>
      </c>
      <c r="J21" s="52"/>
      <c r="K21" s="324">
        <f t="shared" si="0"/>
        <v>295387.63187355472</v>
      </c>
      <c r="L21" s="63">
        <f t="shared" si="1"/>
        <v>0</v>
      </c>
      <c r="M21" s="324">
        <f t="shared" si="2"/>
        <v>295387.63187355472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11">
        <v>2024676.101837235</v>
      </c>
      <c r="E22" s="412">
        <v>56165.714249999997</v>
      </c>
      <c r="F22" s="411">
        <v>1968510.3875872351</v>
      </c>
      <c r="G22" s="412">
        <v>279098.59002601594</v>
      </c>
      <c r="H22" s="414">
        <v>279098.59002601594</v>
      </c>
      <c r="I22" s="52">
        <f t="shared" si="4"/>
        <v>0</v>
      </c>
      <c r="J22" s="52"/>
      <c r="K22" s="324">
        <f t="shared" si="0"/>
        <v>279098.59002601594</v>
      </c>
      <c r="L22" s="63">
        <f t="shared" si="1"/>
        <v>0</v>
      </c>
      <c r="M22" s="324">
        <f t="shared" si="2"/>
        <v>279098.59002601594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11">
        <v>1974751.0225039017</v>
      </c>
      <c r="E23" s="412">
        <v>53491.156428571427</v>
      </c>
      <c r="F23" s="411">
        <v>1921259.8660753304</v>
      </c>
      <c r="G23" s="412">
        <v>263885.04985844565</v>
      </c>
      <c r="H23" s="414">
        <v>263885.04985844565</v>
      </c>
      <c r="I23" s="52">
        <f t="shared" si="4"/>
        <v>0</v>
      </c>
      <c r="J23" s="52"/>
      <c r="K23" s="324">
        <f t="shared" ref="K23" si="7">G23</f>
        <v>263885.04985844565</v>
      </c>
      <c r="L23" s="63">
        <f t="shared" ref="L23" si="8">IF(K23&lt;&gt;0,+G23-K23,0)</f>
        <v>0</v>
      </c>
      <c r="M23" s="324">
        <f t="shared" ref="M23" si="9">H23</f>
        <v>263885.04985844565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11">
        <v>1915019.2311586635</v>
      </c>
      <c r="E24" s="412">
        <v>52247.176046511624</v>
      </c>
      <c r="F24" s="411">
        <v>1862772.0551121519</v>
      </c>
      <c r="G24" s="412">
        <v>253094.17604651162</v>
      </c>
      <c r="H24" s="414">
        <v>253094.17604651162</v>
      </c>
      <c r="I24" s="52">
        <f t="shared" si="4"/>
        <v>0</v>
      </c>
      <c r="J24" s="52"/>
      <c r="K24" s="324">
        <f t="shared" ref="K24" si="10">G24</f>
        <v>253094.17604651162</v>
      </c>
      <c r="L24" s="63">
        <f t="shared" ref="L24" si="11">IF(K24&lt;&gt;0,+G24-K24,0)</f>
        <v>0</v>
      </c>
      <c r="M24" s="324">
        <f t="shared" ref="M24" si="12">H24</f>
        <v>253094.17604651162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11">
        <v>1862772.0551121519</v>
      </c>
      <c r="E25" s="412">
        <v>53491.156428571427</v>
      </c>
      <c r="F25" s="411">
        <v>1809280.8986835806</v>
      </c>
      <c r="G25" s="412">
        <v>248552.15642857144</v>
      </c>
      <c r="H25" s="414">
        <v>248552.15642857144</v>
      </c>
      <c r="I25" s="52">
        <f t="shared" si="4"/>
        <v>0</v>
      </c>
      <c r="J25" s="52"/>
      <c r="K25" s="324">
        <f t="shared" ref="K25" si="13">G25</f>
        <v>248552.15642857144</v>
      </c>
      <c r="L25" s="63">
        <f t="shared" ref="L25" si="14">IF(K25&lt;&gt;0,+G25-K25,0)</f>
        <v>0</v>
      </c>
      <c r="M25" s="324">
        <f t="shared" ref="M25" si="15">H25</f>
        <v>248552.15642857144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11">
        <v>1809281.3286835807</v>
      </c>
      <c r="E26" s="412">
        <v>57605.871794871797</v>
      </c>
      <c r="F26" s="411">
        <v>1751675.456888709</v>
      </c>
      <c r="G26" s="412">
        <v>266683.87179487181</v>
      </c>
      <c r="H26" s="414">
        <v>266683.87179487181</v>
      </c>
      <c r="I26" s="52">
        <f t="shared" si="4"/>
        <v>0</v>
      </c>
      <c r="J26" s="52"/>
      <c r="K26" s="324">
        <f t="shared" ref="K26" si="16">G26</f>
        <v>266683.87179487181</v>
      </c>
      <c r="L26" s="63">
        <f t="shared" ref="L26" si="17">IF(K26&lt;&gt;0,+G26-K26,0)</f>
        <v>0</v>
      </c>
      <c r="M26" s="324">
        <f t="shared" ref="M26" si="18">H26</f>
        <v>266683.87179487181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50">
        <f>IF(D11="","-",+C26+1)</f>
        <v>2024</v>
      </c>
      <c r="D27" s="411">
        <v>1751675.456888709</v>
      </c>
      <c r="E27" s="412">
        <v>59121.815789473687</v>
      </c>
      <c r="F27" s="411">
        <v>1692553.6410992353</v>
      </c>
      <c r="G27" s="412">
        <v>251632.81578947368</v>
      </c>
      <c r="H27" s="414">
        <v>251632.81578947368</v>
      </c>
      <c r="I27" s="52">
        <f t="shared" si="4"/>
        <v>0</v>
      </c>
      <c r="J27" s="52"/>
      <c r="K27" s="324">
        <f t="shared" ref="K27" si="21">G27</f>
        <v>251632.81578947368</v>
      </c>
      <c r="L27" s="63">
        <f t="shared" ref="L27" si="22">IF(K27&lt;&gt;0,+G27-K27,0)</f>
        <v>0</v>
      </c>
      <c r="M27" s="324">
        <f t="shared" ref="M27" si="23">H27</f>
        <v>251632.81578947368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49">
        <f>IF(D11="","-",+C27+1)</f>
        <v>2025</v>
      </c>
      <c r="D28" s="411">
        <v>1692553.6410992353</v>
      </c>
      <c r="E28" s="412">
        <v>59121.815789473687</v>
      </c>
      <c r="F28" s="411">
        <v>1633431.8253097616</v>
      </c>
      <c r="G28" s="412">
        <v>244689.81578947368</v>
      </c>
      <c r="H28" s="414">
        <v>244689.81578947368</v>
      </c>
      <c r="I28" s="52">
        <f t="shared" si="4"/>
        <v>0</v>
      </c>
      <c r="J28" s="52"/>
      <c r="K28" s="324">
        <f t="shared" ref="K28" si="26">G28</f>
        <v>244689.81578947368</v>
      </c>
      <c r="L28" s="63">
        <f t="shared" ref="L28" si="27">IF(K28&lt;&gt;0,+G28-K28,0)</f>
        <v>0</v>
      </c>
      <c r="M28" s="324">
        <f t="shared" ref="M28" si="28">H28</f>
        <v>244689.81578947368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1633431.8253097616</v>
      </c>
      <c r="E29" s="354">
        <f t="shared" ref="E29:E72" si="31">IF(+$I$14&lt;F28,$I$14,D29)</f>
        <v>59121.815789473687</v>
      </c>
      <c r="F29" s="55">
        <f t="shared" ref="F29:F72" si="32">+D29-E29</f>
        <v>1574310.0095202879</v>
      </c>
      <c r="G29" s="355">
        <f t="shared" ref="G29:G72" si="33">ROUND(I$12*F29,0)+E29</f>
        <v>243949.81578947368</v>
      </c>
      <c r="H29" s="337">
        <f t="shared" ref="H29:H72" si="34">ROUND(I$13*F29,0)+E29</f>
        <v>243949.81578947368</v>
      </c>
      <c r="I29" s="52">
        <f t="shared" si="4"/>
        <v>0</v>
      </c>
      <c r="J29" s="52"/>
      <c r="K29" s="115"/>
      <c r="L29" s="54">
        <f t="shared" ref="L29:L72" si="35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1574310.0095202879</v>
      </c>
      <c r="E30" s="354">
        <f t="shared" si="31"/>
        <v>59121.815789473687</v>
      </c>
      <c r="F30" s="55">
        <f t="shared" si="32"/>
        <v>1515188.1937308141</v>
      </c>
      <c r="G30" s="355">
        <f t="shared" si="33"/>
        <v>237008.81578947368</v>
      </c>
      <c r="H30" s="337">
        <f t="shared" si="34"/>
        <v>237008.81578947368</v>
      </c>
      <c r="I30" s="52">
        <f t="shared" si="4"/>
        <v>0</v>
      </c>
      <c r="J30" s="52"/>
      <c r="K30" s="115"/>
      <c r="L30" s="54">
        <f t="shared" si="35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1515188.1937308141</v>
      </c>
      <c r="E31" s="354">
        <f t="shared" si="31"/>
        <v>59121.815789473687</v>
      </c>
      <c r="F31" s="55">
        <f t="shared" si="32"/>
        <v>1456066.3779413404</v>
      </c>
      <c r="G31" s="355">
        <f t="shared" si="33"/>
        <v>230067.81578947368</v>
      </c>
      <c r="H31" s="337">
        <f t="shared" si="34"/>
        <v>230067.81578947368</v>
      </c>
      <c r="I31" s="52">
        <f t="shared" si="4"/>
        <v>0</v>
      </c>
      <c r="J31" s="52"/>
      <c r="K31" s="115"/>
      <c r="L31" s="54">
        <f t="shared" si="35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1456066.3779413404</v>
      </c>
      <c r="E32" s="354">
        <f t="shared" si="31"/>
        <v>59121.815789473687</v>
      </c>
      <c r="F32" s="55">
        <f t="shared" si="32"/>
        <v>1396944.5621518667</v>
      </c>
      <c r="G32" s="355">
        <f t="shared" si="33"/>
        <v>223126.81578947368</v>
      </c>
      <c r="H32" s="337">
        <f t="shared" si="34"/>
        <v>223126.81578947368</v>
      </c>
      <c r="I32" s="52">
        <f t="shared" si="4"/>
        <v>0</v>
      </c>
      <c r="J32" s="52"/>
      <c r="K32" s="115"/>
      <c r="L32" s="54">
        <f t="shared" si="35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1396944.5621518667</v>
      </c>
      <c r="E33" s="354">
        <f t="shared" si="31"/>
        <v>59121.815789473687</v>
      </c>
      <c r="F33" s="55">
        <f t="shared" si="32"/>
        <v>1337822.746362393</v>
      </c>
      <c r="G33" s="355">
        <f t="shared" si="33"/>
        <v>216185.81578947368</v>
      </c>
      <c r="H33" s="337">
        <f t="shared" si="34"/>
        <v>216185.81578947368</v>
      </c>
      <c r="I33" s="52">
        <f t="shared" si="4"/>
        <v>0</v>
      </c>
      <c r="J33" s="52"/>
      <c r="K33" s="115"/>
      <c r="L33" s="54">
        <f t="shared" si="35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1337822.746362393</v>
      </c>
      <c r="E34" s="354">
        <f t="shared" si="31"/>
        <v>59121.815789473687</v>
      </c>
      <c r="F34" s="55">
        <f t="shared" si="32"/>
        <v>1278700.9305729193</v>
      </c>
      <c r="G34" s="355">
        <f t="shared" si="33"/>
        <v>209244.81578947368</v>
      </c>
      <c r="H34" s="337">
        <f t="shared" si="34"/>
        <v>209244.81578947368</v>
      </c>
      <c r="I34" s="52">
        <f t="shared" si="4"/>
        <v>0</v>
      </c>
      <c r="J34" s="52"/>
      <c r="K34" s="115"/>
      <c r="L34" s="54">
        <f t="shared" si="35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1278700.9305729193</v>
      </c>
      <c r="E35" s="354">
        <f t="shared" si="31"/>
        <v>59121.815789473687</v>
      </c>
      <c r="F35" s="55">
        <f t="shared" si="32"/>
        <v>1219579.1147834456</v>
      </c>
      <c r="G35" s="355">
        <f t="shared" si="33"/>
        <v>202303.81578947368</v>
      </c>
      <c r="H35" s="337">
        <f t="shared" si="34"/>
        <v>202303.81578947368</v>
      </c>
      <c r="I35" s="52">
        <f t="shared" si="4"/>
        <v>0</v>
      </c>
      <c r="J35" s="52"/>
      <c r="K35" s="115"/>
      <c r="L35" s="54">
        <f t="shared" si="35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1219579.1147834456</v>
      </c>
      <c r="E36" s="354">
        <f t="shared" si="31"/>
        <v>59121.815789473687</v>
      </c>
      <c r="F36" s="55">
        <f t="shared" si="32"/>
        <v>1160457.2989939719</v>
      </c>
      <c r="G36" s="355">
        <f t="shared" si="33"/>
        <v>195362.81578947368</v>
      </c>
      <c r="H36" s="337">
        <f t="shared" si="34"/>
        <v>195362.81578947368</v>
      </c>
      <c r="I36" s="52">
        <f t="shared" si="4"/>
        <v>0</v>
      </c>
      <c r="J36" s="52"/>
      <c r="K36" s="115"/>
      <c r="L36" s="54">
        <f t="shared" si="35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1160457.2989939719</v>
      </c>
      <c r="E37" s="354">
        <f t="shared" si="31"/>
        <v>59121.815789473687</v>
      </c>
      <c r="F37" s="55">
        <f t="shared" si="32"/>
        <v>1101335.4832044982</v>
      </c>
      <c r="G37" s="355">
        <f t="shared" si="33"/>
        <v>188421.81578947368</v>
      </c>
      <c r="H37" s="337">
        <f t="shared" si="34"/>
        <v>188421.81578947368</v>
      </c>
      <c r="I37" s="52">
        <f t="shared" si="4"/>
        <v>0</v>
      </c>
      <c r="J37" s="52"/>
      <c r="K37" s="115"/>
      <c r="L37" s="54">
        <f t="shared" si="35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1101335.4832044982</v>
      </c>
      <c r="E38" s="354">
        <f t="shared" si="31"/>
        <v>59121.815789473687</v>
      </c>
      <c r="F38" s="55">
        <f t="shared" si="32"/>
        <v>1042213.6674150245</v>
      </c>
      <c r="G38" s="355">
        <f t="shared" si="33"/>
        <v>181480.81578947368</v>
      </c>
      <c r="H38" s="337">
        <f t="shared" si="34"/>
        <v>181480.81578947368</v>
      </c>
      <c r="I38" s="52">
        <f t="shared" si="4"/>
        <v>0</v>
      </c>
      <c r="J38" s="52"/>
      <c r="K38" s="115"/>
      <c r="L38" s="54">
        <f t="shared" si="35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1042213.6674150245</v>
      </c>
      <c r="E39" s="354">
        <f t="shared" si="31"/>
        <v>59121.815789473687</v>
      </c>
      <c r="F39" s="55">
        <f t="shared" si="32"/>
        <v>983091.85162555077</v>
      </c>
      <c r="G39" s="355">
        <f t="shared" si="33"/>
        <v>174539.81578947368</v>
      </c>
      <c r="H39" s="337">
        <f t="shared" si="34"/>
        <v>174539.81578947368</v>
      </c>
      <c r="I39" s="52">
        <f t="shared" si="4"/>
        <v>0</v>
      </c>
      <c r="J39" s="52"/>
      <c r="K39" s="115"/>
      <c r="L39" s="54">
        <f t="shared" si="35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983091.85162555077</v>
      </c>
      <c r="E40" s="354">
        <f t="shared" si="31"/>
        <v>59121.815789473687</v>
      </c>
      <c r="F40" s="55">
        <f t="shared" si="32"/>
        <v>923970.03583607706</v>
      </c>
      <c r="G40" s="355">
        <f t="shared" si="33"/>
        <v>167598.81578947368</v>
      </c>
      <c r="H40" s="337">
        <f t="shared" si="34"/>
        <v>167598.81578947368</v>
      </c>
      <c r="I40" s="52">
        <f t="shared" si="4"/>
        <v>0</v>
      </c>
      <c r="J40" s="52"/>
      <c r="K40" s="115"/>
      <c r="L40" s="54">
        <f t="shared" si="35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923970.03583607706</v>
      </c>
      <c r="E41" s="354">
        <f t="shared" si="31"/>
        <v>59121.815789473687</v>
      </c>
      <c r="F41" s="55">
        <f t="shared" si="32"/>
        <v>864848.22004660335</v>
      </c>
      <c r="G41" s="355">
        <f t="shared" si="33"/>
        <v>160657.81578947368</v>
      </c>
      <c r="H41" s="337">
        <f t="shared" si="34"/>
        <v>160657.81578947368</v>
      </c>
      <c r="I41" s="52">
        <f t="shared" si="4"/>
        <v>0</v>
      </c>
      <c r="J41" s="52"/>
      <c r="K41" s="115"/>
      <c r="L41" s="54">
        <f t="shared" si="35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864848.22004660335</v>
      </c>
      <c r="E42" s="354">
        <f t="shared" si="31"/>
        <v>59121.815789473687</v>
      </c>
      <c r="F42" s="55">
        <f t="shared" si="32"/>
        <v>805726.40425712964</v>
      </c>
      <c r="G42" s="355">
        <f t="shared" si="33"/>
        <v>153715.81578947368</v>
      </c>
      <c r="H42" s="337">
        <f t="shared" si="34"/>
        <v>153715.81578947368</v>
      </c>
      <c r="I42" s="52">
        <f t="shared" si="4"/>
        <v>0</v>
      </c>
      <c r="J42" s="52"/>
      <c r="K42" s="115"/>
      <c r="L42" s="54">
        <f t="shared" si="35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805726.40425712964</v>
      </c>
      <c r="E43" s="354">
        <f t="shared" si="31"/>
        <v>59121.815789473687</v>
      </c>
      <c r="F43" s="55">
        <f t="shared" si="32"/>
        <v>746604.58846765594</v>
      </c>
      <c r="G43" s="355">
        <f t="shared" si="33"/>
        <v>146774.81578947368</v>
      </c>
      <c r="H43" s="337">
        <f t="shared" si="34"/>
        <v>146774.81578947368</v>
      </c>
      <c r="I43" s="52">
        <f t="shared" si="4"/>
        <v>0</v>
      </c>
      <c r="J43" s="52"/>
      <c r="K43" s="115"/>
      <c r="L43" s="54">
        <f t="shared" si="35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746604.58846765594</v>
      </c>
      <c r="E44" s="354">
        <f t="shared" si="31"/>
        <v>59121.815789473687</v>
      </c>
      <c r="F44" s="55">
        <f t="shared" si="32"/>
        <v>687482.77267818223</v>
      </c>
      <c r="G44" s="355">
        <f t="shared" si="33"/>
        <v>139833.81578947368</v>
      </c>
      <c r="H44" s="337">
        <f t="shared" si="34"/>
        <v>139833.81578947368</v>
      </c>
      <c r="I44" s="52">
        <f t="shared" si="4"/>
        <v>0</v>
      </c>
      <c r="J44" s="52"/>
      <c r="K44" s="115"/>
      <c r="L44" s="54">
        <f t="shared" si="35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687482.77267818223</v>
      </c>
      <c r="E45" s="354">
        <f t="shared" si="31"/>
        <v>59121.815789473687</v>
      </c>
      <c r="F45" s="55">
        <f t="shared" si="32"/>
        <v>628360.95688870852</v>
      </c>
      <c r="G45" s="355">
        <f t="shared" si="33"/>
        <v>132892.81578947368</v>
      </c>
      <c r="H45" s="337">
        <f t="shared" si="34"/>
        <v>132892.81578947368</v>
      </c>
      <c r="I45" s="52">
        <f t="shared" si="4"/>
        <v>0</v>
      </c>
      <c r="J45" s="52"/>
      <c r="K45" s="115"/>
      <c r="L45" s="54">
        <f t="shared" si="35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628360.95688870852</v>
      </c>
      <c r="E46" s="354">
        <f t="shared" si="31"/>
        <v>59121.815789473687</v>
      </c>
      <c r="F46" s="55">
        <f t="shared" si="32"/>
        <v>569239.14109923481</v>
      </c>
      <c r="G46" s="355">
        <f t="shared" si="33"/>
        <v>125951.81578947368</v>
      </c>
      <c r="H46" s="337">
        <f t="shared" si="34"/>
        <v>125951.81578947368</v>
      </c>
      <c r="I46" s="52">
        <f t="shared" si="4"/>
        <v>0</v>
      </c>
      <c r="J46" s="52"/>
      <c r="K46" s="115"/>
      <c r="L46" s="54">
        <f t="shared" si="35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569239.14109923481</v>
      </c>
      <c r="E47" s="354">
        <f t="shared" si="31"/>
        <v>59121.815789473687</v>
      </c>
      <c r="F47" s="55">
        <f t="shared" si="32"/>
        <v>510117.3253097611</v>
      </c>
      <c r="G47" s="355">
        <f t="shared" si="33"/>
        <v>119010.81578947368</v>
      </c>
      <c r="H47" s="337">
        <f t="shared" si="34"/>
        <v>119010.81578947368</v>
      </c>
      <c r="I47" s="52">
        <f t="shared" si="4"/>
        <v>0</v>
      </c>
      <c r="J47" s="52"/>
      <c r="K47" s="115"/>
      <c r="L47" s="54">
        <f t="shared" si="35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510117.3253097611</v>
      </c>
      <c r="E48" s="354">
        <f t="shared" si="31"/>
        <v>59121.815789473687</v>
      </c>
      <c r="F48" s="55">
        <f t="shared" si="32"/>
        <v>450995.50952028739</v>
      </c>
      <c r="G48" s="355">
        <f t="shared" si="33"/>
        <v>112069.81578947368</v>
      </c>
      <c r="H48" s="337">
        <f t="shared" si="34"/>
        <v>112069.81578947368</v>
      </c>
      <c r="I48" s="52">
        <f t="shared" si="4"/>
        <v>0</v>
      </c>
      <c r="J48" s="52"/>
      <c r="K48" s="115"/>
      <c r="L48" s="54">
        <f t="shared" si="35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22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450995.50952028739</v>
      </c>
      <c r="E49" s="354">
        <f t="shared" si="31"/>
        <v>59121.815789473687</v>
      </c>
      <c r="F49" s="55">
        <f t="shared" si="32"/>
        <v>391873.69373081368</v>
      </c>
      <c r="G49" s="355">
        <f t="shared" si="33"/>
        <v>105128.81578947368</v>
      </c>
      <c r="H49" s="337">
        <f t="shared" si="34"/>
        <v>105128.81578947368</v>
      </c>
      <c r="I49" s="52">
        <f t="shared" si="4"/>
        <v>0</v>
      </c>
      <c r="J49" s="52"/>
      <c r="K49" s="115"/>
      <c r="L49" s="54">
        <f t="shared" si="35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22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391873.69373081368</v>
      </c>
      <c r="E50" s="354">
        <f t="shared" si="31"/>
        <v>59121.815789473687</v>
      </c>
      <c r="F50" s="55">
        <f t="shared" si="32"/>
        <v>332751.87794133998</v>
      </c>
      <c r="G50" s="355">
        <f t="shared" si="33"/>
        <v>98187.81578947368</v>
      </c>
      <c r="H50" s="337">
        <f t="shared" si="34"/>
        <v>98187.81578947368</v>
      </c>
      <c r="I50" s="52">
        <f t="shared" si="4"/>
        <v>0</v>
      </c>
      <c r="J50" s="52"/>
      <c r="K50" s="115"/>
      <c r="L50" s="54">
        <f t="shared" si="35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22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332751.87794133998</v>
      </c>
      <c r="E51" s="354">
        <f t="shared" si="31"/>
        <v>59121.815789473687</v>
      </c>
      <c r="F51" s="55">
        <f t="shared" si="32"/>
        <v>273630.06215186627</v>
      </c>
      <c r="G51" s="355">
        <f t="shared" si="33"/>
        <v>91246.81578947368</v>
      </c>
      <c r="H51" s="337">
        <f t="shared" si="34"/>
        <v>91246.81578947368</v>
      </c>
      <c r="I51" s="52">
        <f t="shared" si="4"/>
        <v>0</v>
      </c>
      <c r="J51" s="52"/>
      <c r="K51" s="115"/>
      <c r="L51" s="54">
        <f t="shared" si="35"/>
        <v>0</v>
      </c>
      <c r="M51" s="115"/>
      <c r="N51" s="54">
        <f t="shared" si="5"/>
        <v>0</v>
      </c>
      <c r="O51" s="54">
        <f t="shared" si="6"/>
        <v>0</v>
      </c>
      <c r="P51" s="1"/>
      <c r="V51" t="s">
        <v>455</v>
      </c>
    </row>
    <row r="52" spans="2:22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273630.06215186627</v>
      </c>
      <c r="E52" s="354">
        <f t="shared" si="31"/>
        <v>59121.815789473687</v>
      </c>
      <c r="F52" s="55">
        <f t="shared" si="32"/>
        <v>214508.24636239259</v>
      </c>
      <c r="G52" s="355">
        <f t="shared" si="33"/>
        <v>84305.81578947368</v>
      </c>
      <c r="H52" s="337">
        <f t="shared" si="34"/>
        <v>84305.81578947368</v>
      </c>
      <c r="I52" s="52">
        <f t="shared" si="4"/>
        <v>0</v>
      </c>
      <c r="J52" s="52"/>
      <c r="K52" s="115"/>
      <c r="L52" s="54">
        <f t="shared" si="35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22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214508.24636239259</v>
      </c>
      <c r="E53" s="354">
        <f t="shared" si="31"/>
        <v>59121.815789473687</v>
      </c>
      <c r="F53" s="55">
        <f t="shared" si="32"/>
        <v>155386.43057291891</v>
      </c>
      <c r="G53" s="355">
        <f t="shared" si="33"/>
        <v>77364.81578947368</v>
      </c>
      <c r="H53" s="337">
        <f t="shared" si="34"/>
        <v>77364.81578947368</v>
      </c>
      <c r="I53" s="52">
        <f t="shared" si="4"/>
        <v>0</v>
      </c>
      <c r="J53" s="52"/>
      <c r="K53" s="115"/>
      <c r="L53" s="54">
        <f t="shared" si="35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22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155386.43057291891</v>
      </c>
      <c r="E54" s="354">
        <f t="shared" si="31"/>
        <v>59121.815789473687</v>
      </c>
      <c r="F54" s="55">
        <f t="shared" si="32"/>
        <v>96264.614783445228</v>
      </c>
      <c r="G54" s="355">
        <f t="shared" si="33"/>
        <v>70423.81578947368</v>
      </c>
      <c r="H54" s="337">
        <f t="shared" si="34"/>
        <v>70423.81578947368</v>
      </c>
      <c r="I54" s="52">
        <f t="shared" si="4"/>
        <v>0</v>
      </c>
      <c r="J54" s="52"/>
      <c r="K54" s="115"/>
      <c r="L54" s="54">
        <f t="shared" si="35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22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96264.614783445228</v>
      </c>
      <c r="E55" s="354">
        <f t="shared" si="31"/>
        <v>59121.815789473687</v>
      </c>
      <c r="F55" s="55">
        <f t="shared" si="32"/>
        <v>37142.798993971541</v>
      </c>
      <c r="G55" s="355">
        <f t="shared" si="33"/>
        <v>63482.815789473687</v>
      </c>
      <c r="H55" s="337">
        <f t="shared" si="34"/>
        <v>63482.815789473687</v>
      </c>
      <c r="I55" s="52">
        <f t="shared" si="4"/>
        <v>0</v>
      </c>
      <c r="J55" s="52"/>
      <c r="K55" s="115"/>
      <c r="L55" s="54">
        <f t="shared" si="35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22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37142.798993971541</v>
      </c>
      <c r="E56" s="354">
        <f t="shared" si="31"/>
        <v>37142.798993971541</v>
      </c>
      <c r="F56" s="55">
        <f t="shared" si="32"/>
        <v>0</v>
      </c>
      <c r="G56" s="355">
        <f t="shared" si="33"/>
        <v>37142.798993971541</v>
      </c>
      <c r="H56" s="337">
        <f t="shared" si="34"/>
        <v>37142.798993971541</v>
      </c>
      <c r="I56" s="52">
        <f t="shared" si="4"/>
        <v>0</v>
      </c>
      <c r="J56" s="52"/>
      <c r="K56" s="115"/>
      <c r="L56" s="54">
        <f t="shared" si="35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22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31"/>
        <v>0</v>
      </c>
      <c r="F57" s="55">
        <f t="shared" si="32"/>
        <v>0</v>
      </c>
      <c r="G57" s="355">
        <f t="shared" si="33"/>
        <v>0</v>
      </c>
      <c r="H57" s="337">
        <f t="shared" si="34"/>
        <v>0</v>
      </c>
      <c r="I57" s="52">
        <f t="shared" si="4"/>
        <v>0</v>
      </c>
      <c r="J57" s="52"/>
      <c r="K57" s="115"/>
      <c r="L57" s="54">
        <f t="shared" si="35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22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31"/>
        <v>0</v>
      </c>
      <c r="F58" s="55">
        <f t="shared" si="32"/>
        <v>0</v>
      </c>
      <c r="G58" s="355">
        <f t="shared" si="33"/>
        <v>0</v>
      </c>
      <c r="H58" s="337">
        <f t="shared" si="34"/>
        <v>0</v>
      </c>
      <c r="I58" s="52">
        <f t="shared" si="4"/>
        <v>0</v>
      </c>
      <c r="J58" s="52"/>
      <c r="K58" s="115"/>
      <c r="L58" s="54">
        <f t="shared" si="35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22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31"/>
        <v>0</v>
      </c>
      <c r="F59" s="55">
        <f t="shared" si="32"/>
        <v>0</v>
      </c>
      <c r="G59" s="355">
        <f t="shared" si="33"/>
        <v>0</v>
      </c>
      <c r="H59" s="337">
        <f t="shared" si="34"/>
        <v>0</v>
      </c>
      <c r="I59" s="52">
        <f t="shared" si="4"/>
        <v>0</v>
      </c>
      <c r="J59" s="52"/>
      <c r="K59" s="115"/>
      <c r="L59" s="54">
        <f t="shared" si="35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22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31"/>
        <v>0</v>
      </c>
      <c r="F60" s="55">
        <f t="shared" si="32"/>
        <v>0</v>
      </c>
      <c r="G60" s="355">
        <f t="shared" si="33"/>
        <v>0</v>
      </c>
      <c r="H60" s="337">
        <f t="shared" si="34"/>
        <v>0</v>
      </c>
      <c r="I60" s="52">
        <f t="shared" si="4"/>
        <v>0</v>
      </c>
      <c r="J60" s="52"/>
      <c r="K60" s="115"/>
      <c r="L60" s="54">
        <f t="shared" si="35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22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31"/>
        <v>0</v>
      </c>
      <c r="F61" s="55">
        <f t="shared" si="32"/>
        <v>0</v>
      </c>
      <c r="G61" s="355">
        <f t="shared" si="33"/>
        <v>0</v>
      </c>
      <c r="H61" s="337">
        <f t="shared" si="34"/>
        <v>0</v>
      </c>
      <c r="I61" s="52">
        <f t="shared" si="4"/>
        <v>0</v>
      </c>
      <c r="J61" s="52"/>
      <c r="K61" s="115"/>
      <c r="L61" s="54">
        <f t="shared" si="35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22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31"/>
        <v>0</v>
      </c>
      <c r="F62" s="55">
        <f t="shared" si="32"/>
        <v>0</v>
      </c>
      <c r="G62" s="355">
        <f t="shared" si="33"/>
        <v>0</v>
      </c>
      <c r="H62" s="337">
        <f t="shared" si="34"/>
        <v>0</v>
      </c>
      <c r="I62" s="52">
        <f t="shared" si="4"/>
        <v>0</v>
      </c>
      <c r="J62" s="52"/>
      <c r="K62" s="115"/>
      <c r="L62" s="54">
        <f t="shared" si="35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22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31"/>
        <v>0</v>
      </c>
      <c r="F63" s="55">
        <f t="shared" si="32"/>
        <v>0</v>
      </c>
      <c r="G63" s="355">
        <f t="shared" si="33"/>
        <v>0</v>
      </c>
      <c r="H63" s="337">
        <f t="shared" si="34"/>
        <v>0</v>
      </c>
      <c r="I63" s="52">
        <f t="shared" si="4"/>
        <v>0</v>
      </c>
      <c r="J63" s="52"/>
      <c r="K63" s="115"/>
      <c r="L63" s="54">
        <f t="shared" si="35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22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31"/>
        <v>0</v>
      </c>
      <c r="F64" s="55">
        <f t="shared" si="32"/>
        <v>0</v>
      </c>
      <c r="G64" s="355">
        <f t="shared" si="33"/>
        <v>0</v>
      </c>
      <c r="H64" s="337">
        <f t="shared" si="34"/>
        <v>0</v>
      </c>
      <c r="I64" s="52">
        <f t="shared" si="4"/>
        <v>0</v>
      </c>
      <c r="J64" s="52"/>
      <c r="K64" s="115"/>
      <c r="L64" s="54">
        <f t="shared" si="35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31"/>
        <v>0</v>
      </c>
      <c r="F65" s="55">
        <f t="shared" si="32"/>
        <v>0</v>
      </c>
      <c r="G65" s="355">
        <f t="shared" si="33"/>
        <v>0</v>
      </c>
      <c r="H65" s="337">
        <f t="shared" si="34"/>
        <v>0</v>
      </c>
      <c r="I65" s="52">
        <f t="shared" si="4"/>
        <v>0</v>
      </c>
      <c r="J65" s="52"/>
      <c r="K65" s="115"/>
      <c r="L65" s="54">
        <f t="shared" si="35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31"/>
        <v>0</v>
      </c>
      <c r="F66" s="55">
        <f t="shared" si="32"/>
        <v>0</v>
      </c>
      <c r="G66" s="355">
        <f t="shared" si="33"/>
        <v>0</v>
      </c>
      <c r="H66" s="337">
        <f t="shared" si="34"/>
        <v>0</v>
      </c>
      <c r="I66" s="52">
        <f t="shared" si="4"/>
        <v>0</v>
      </c>
      <c r="J66" s="52"/>
      <c r="K66" s="115"/>
      <c r="L66" s="54">
        <f t="shared" si="35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31"/>
        <v>0</v>
      </c>
      <c r="F67" s="55">
        <f t="shared" si="32"/>
        <v>0</v>
      </c>
      <c r="G67" s="355">
        <f t="shared" si="33"/>
        <v>0</v>
      </c>
      <c r="H67" s="337">
        <f t="shared" si="34"/>
        <v>0</v>
      </c>
      <c r="I67" s="52">
        <f t="shared" si="4"/>
        <v>0</v>
      </c>
      <c r="J67" s="52"/>
      <c r="K67" s="115"/>
      <c r="L67" s="54">
        <f t="shared" si="35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31"/>
        <v>0</v>
      </c>
      <c r="F68" s="55">
        <f t="shared" si="32"/>
        <v>0</v>
      </c>
      <c r="G68" s="355">
        <f t="shared" si="33"/>
        <v>0</v>
      </c>
      <c r="H68" s="337">
        <f t="shared" si="34"/>
        <v>0</v>
      </c>
      <c r="I68" s="52">
        <f t="shared" si="4"/>
        <v>0</v>
      </c>
      <c r="J68" s="52"/>
      <c r="K68" s="115"/>
      <c r="L68" s="54">
        <f t="shared" si="35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31"/>
        <v>0</v>
      </c>
      <c r="F69" s="55">
        <f t="shared" si="32"/>
        <v>0</v>
      </c>
      <c r="G69" s="355">
        <f t="shared" si="33"/>
        <v>0</v>
      </c>
      <c r="H69" s="337">
        <f t="shared" si="34"/>
        <v>0</v>
      </c>
      <c r="I69" s="52">
        <f t="shared" si="4"/>
        <v>0</v>
      </c>
      <c r="J69" s="52"/>
      <c r="K69" s="115"/>
      <c r="L69" s="54">
        <f t="shared" si="35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31"/>
        <v>0</v>
      </c>
      <c r="F70" s="55">
        <f t="shared" si="32"/>
        <v>0</v>
      </c>
      <c r="G70" s="355">
        <f t="shared" si="33"/>
        <v>0</v>
      </c>
      <c r="H70" s="337">
        <f t="shared" si="34"/>
        <v>0</v>
      </c>
      <c r="I70" s="52">
        <f t="shared" si="4"/>
        <v>0</v>
      </c>
      <c r="J70" s="52"/>
      <c r="K70" s="115"/>
      <c r="L70" s="54">
        <f t="shared" si="35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31"/>
        <v>0</v>
      </c>
      <c r="F71" s="55">
        <f t="shared" si="32"/>
        <v>0</v>
      </c>
      <c r="G71" s="355">
        <f t="shared" si="33"/>
        <v>0</v>
      </c>
      <c r="H71" s="337">
        <f t="shared" si="34"/>
        <v>0</v>
      </c>
      <c r="I71" s="52">
        <f t="shared" si="4"/>
        <v>0</v>
      </c>
      <c r="J71" s="52"/>
      <c r="K71" s="115"/>
      <c r="L71" s="54">
        <f t="shared" si="35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5">
        <f>IF(F71+SUM(E$17:E71)=D$10,F71,D$10-SUM(E$17:E71))</f>
        <v>0</v>
      </c>
      <c r="E72" s="354">
        <f t="shared" si="31"/>
        <v>0</v>
      </c>
      <c r="F72" s="55">
        <f t="shared" si="32"/>
        <v>0</v>
      </c>
      <c r="G72" s="355">
        <f t="shared" si="33"/>
        <v>0</v>
      </c>
      <c r="H72" s="337">
        <f t="shared" si="34"/>
        <v>0</v>
      </c>
      <c r="I72" s="52">
        <f t="shared" si="4"/>
        <v>0</v>
      </c>
      <c r="J72" s="52"/>
      <c r="K72" s="116"/>
      <c r="L72" s="62">
        <f t="shared" si="35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7"/>
      <c r="E73" s="267">
        <f>SUM(E17:E72)</f>
        <v>2246629</v>
      </c>
      <c r="F73" s="267"/>
      <c r="G73" s="267">
        <f>SUM(G17:G72)</f>
        <v>7621311.2931857863</v>
      </c>
      <c r="H73" s="267">
        <f>SUM(H17:H72)</f>
        <v>7621311.2931857863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15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251632.81578947368</v>
      </c>
      <c r="N87" s="364">
        <f>IF(J92&lt;D11,0,VLOOKUP(J92,C17:O72,11))</f>
        <v>251632.81578947368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288721.92516892101</v>
      </c>
      <c r="N88" s="367">
        <f>IF(J92&lt;D11,0,VLOOKUP(J92,C99:P154,7))</f>
        <v>288721.92516892101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Locust Grove to Lone Star 115 kV Rebuild 2.1 miles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37089.109379447327</v>
      </c>
      <c r="N89" s="369">
        <f>+N88-N87</f>
        <v>37089.109379447327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TP2009093</v>
      </c>
      <c r="E91" s="74" t="str">
        <f>E9</f>
        <v xml:space="preserve">  SPP Project ID = 649</v>
      </c>
      <c r="F91" s="74"/>
      <c r="G91" s="74"/>
      <c r="H91" s="74"/>
      <c r="I91" s="74"/>
      <c r="J91" s="74"/>
    </row>
    <row r="92" spans="1:16" ht="13">
      <c r="C92" s="128" t="s">
        <v>226</v>
      </c>
      <c r="D92" s="336">
        <f>+D10</f>
        <v>2246629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429" t="s">
        <v>272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+D12</f>
        <v>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60720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 t="str">
        <f>IF(D93= "","-",D93)</f>
        <v>2014</v>
      </c>
      <c r="D99" s="411">
        <v>0</v>
      </c>
      <c r="E99" s="412">
        <v>36003.333333333336</v>
      </c>
      <c r="F99" s="413">
        <v>2210625.2366666663</v>
      </c>
      <c r="G99" s="430">
        <v>1105312.6183333332</v>
      </c>
      <c r="H99" s="431">
        <v>191405.76922123961</v>
      </c>
      <c r="I99" s="432">
        <v>191405.76922123961</v>
      </c>
      <c r="J99" s="54">
        <v>0</v>
      </c>
      <c r="K99" s="54"/>
      <c r="L99" s="324">
        <f t="shared" ref="L99:L105" si="36">H99</f>
        <v>191405.76922123961</v>
      </c>
      <c r="M99" s="63">
        <f t="shared" ref="M99:M105" si="37">IF(L99&lt;&gt;0,+H99-L99,0)</f>
        <v>0</v>
      </c>
      <c r="N99" s="324">
        <f t="shared" ref="N99:N105" si="38">I99</f>
        <v>191405.76922123961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11">
        <v>2210625.2366666663</v>
      </c>
      <c r="E100" s="412">
        <v>43204</v>
      </c>
      <c r="F100" s="413">
        <v>2167421.2366666663</v>
      </c>
      <c r="G100" s="413">
        <v>2189023.2366666663</v>
      </c>
      <c r="H100" s="431">
        <v>341878.62002899748</v>
      </c>
      <c r="I100" s="432">
        <v>341878.62002899748</v>
      </c>
      <c r="J100" s="54">
        <f>+I100-H100</f>
        <v>0</v>
      </c>
      <c r="K100" s="54"/>
      <c r="L100" s="324">
        <f t="shared" si="36"/>
        <v>341878.62002899748</v>
      </c>
      <c r="M100" s="63">
        <f t="shared" si="37"/>
        <v>0</v>
      </c>
      <c r="N100" s="324">
        <f t="shared" si="38"/>
        <v>341878.62002899748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9">IF(D101=F100,"","IU")</f>
        <v/>
      </c>
      <c r="C101" s="50">
        <f>IF(D93="","-",+C100+1)</f>
        <v>2016</v>
      </c>
      <c r="D101" s="411">
        <v>2167421.2366666663</v>
      </c>
      <c r="E101" s="412">
        <v>48840</v>
      </c>
      <c r="F101" s="413">
        <v>2118581.2366666663</v>
      </c>
      <c r="G101" s="413">
        <v>2143001.2366666663</v>
      </c>
      <c r="H101" s="431">
        <v>325106.60926354182</v>
      </c>
      <c r="I101" s="432">
        <v>325106.60926354182</v>
      </c>
      <c r="J101" s="54">
        <f t="shared" ref="J101:J154" si="40">+I101-H101</f>
        <v>0</v>
      </c>
      <c r="K101" s="54"/>
      <c r="L101" s="324">
        <f t="shared" si="36"/>
        <v>325106.60926354182</v>
      </c>
      <c r="M101" s="63">
        <f t="shared" si="37"/>
        <v>0</v>
      </c>
      <c r="N101" s="324">
        <f t="shared" si="38"/>
        <v>325106.60926354182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9"/>
        <v/>
      </c>
      <c r="C102" s="50">
        <f>IF(D93="","-",+C101+1)</f>
        <v>2017</v>
      </c>
      <c r="D102" s="411">
        <v>2118581.2366666663</v>
      </c>
      <c r="E102" s="412">
        <v>48840</v>
      </c>
      <c r="F102" s="413">
        <v>2069741.2366666663</v>
      </c>
      <c r="G102" s="413">
        <v>2094161.2366666663</v>
      </c>
      <c r="H102" s="431">
        <v>314489.63330060086</v>
      </c>
      <c r="I102" s="432">
        <v>314489.63330060086</v>
      </c>
      <c r="J102" s="54">
        <f t="shared" si="40"/>
        <v>0</v>
      </c>
      <c r="K102" s="54"/>
      <c r="L102" s="324">
        <f t="shared" si="36"/>
        <v>314489.63330060086</v>
      </c>
      <c r="M102" s="63">
        <f t="shared" si="37"/>
        <v>0</v>
      </c>
      <c r="N102" s="324">
        <f t="shared" si="38"/>
        <v>314489.63330060086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9"/>
        <v/>
      </c>
      <c r="C103" s="50">
        <f>IF(D93="","-",+C102+1)</f>
        <v>2018</v>
      </c>
      <c r="D103" s="411">
        <v>2069741.2366666663</v>
      </c>
      <c r="E103" s="412">
        <v>52247</v>
      </c>
      <c r="F103" s="413">
        <v>2017494.2366666663</v>
      </c>
      <c r="G103" s="413">
        <v>2043617.7366666663</v>
      </c>
      <c r="H103" s="431">
        <v>262199.22655399318</v>
      </c>
      <c r="I103" s="432">
        <v>262199.22655399318</v>
      </c>
      <c r="J103" s="54">
        <f t="shared" si="40"/>
        <v>0</v>
      </c>
      <c r="K103" s="54"/>
      <c r="L103" s="324">
        <f t="shared" si="36"/>
        <v>262199.22655399318</v>
      </c>
      <c r="M103" s="63">
        <f t="shared" si="37"/>
        <v>0</v>
      </c>
      <c r="N103" s="324">
        <f t="shared" si="38"/>
        <v>262199.22655399318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9"/>
        <v/>
      </c>
      <c r="C104" s="50">
        <f>IF(D93="","-",+C103+1)</f>
        <v>2019</v>
      </c>
      <c r="D104" s="411">
        <v>2017494.2366666663</v>
      </c>
      <c r="E104" s="412">
        <v>54796</v>
      </c>
      <c r="F104" s="413">
        <v>1962698.2366666663</v>
      </c>
      <c r="G104" s="413">
        <v>1990096.2366666663</v>
      </c>
      <c r="H104" s="431">
        <v>260002.83525061089</v>
      </c>
      <c r="I104" s="432">
        <v>260002.83525061089</v>
      </c>
      <c r="J104" s="54">
        <f t="shared" si="40"/>
        <v>0</v>
      </c>
      <c r="K104" s="54"/>
      <c r="L104" s="324">
        <f t="shared" si="36"/>
        <v>260002.83525061089</v>
      </c>
      <c r="M104" s="63">
        <f t="shared" si="37"/>
        <v>0</v>
      </c>
      <c r="N104" s="324">
        <f t="shared" si="38"/>
        <v>260002.83525061089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 ht="12.5">
      <c r="B105" s="7" t="str">
        <f t="shared" si="39"/>
        <v/>
      </c>
      <c r="C105" s="50">
        <f>IF(D93="","-",+C104+1)</f>
        <v>2020</v>
      </c>
      <c r="D105" s="411">
        <v>1962698.2366666663</v>
      </c>
      <c r="E105" s="412">
        <v>52247</v>
      </c>
      <c r="F105" s="413">
        <v>1910451.2366666663</v>
      </c>
      <c r="G105" s="413">
        <v>1936574.7366666663</v>
      </c>
      <c r="H105" s="431">
        <v>275528.74296443292</v>
      </c>
      <c r="I105" s="432">
        <v>275528.74296443292</v>
      </c>
      <c r="J105" s="54">
        <f t="shared" si="40"/>
        <v>0</v>
      </c>
      <c r="K105" s="54"/>
      <c r="L105" s="324">
        <f t="shared" si="36"/>
        <v>275528.74296443292</v>
      </c>
      <c r="M105" s="63">
        <f t="shared" si="37"/>
        <v>0</v>
      </c>
      <c r="N105" s="324">
        <f t="shared" si="38"/>
        <v>275528.74296443292</v>
      </c>
      <c r="O105" s="54">
        <f t="shared" si="41"/>
        <v>0</v>
      </c>
      <c r="P105" s="54">
        <f t="shared" si="42"/>
        <v>0</v>
      </c>
    </row>
    <row r="106" spans="1:16" ht="12.5">
      <c r="B106" s="7" t="str">
        <f t="shared" si="39"/>
        <v/>
      </c>
      <c r="C106" s="50">
        <f>IF(D93="","-",+C105+1)</f>
        <v>2021</v>
      </c>
      <c r="D106" s="411">
        <v>1910451.2366666663</v>
      </c>
      <c r="E106" s="412">
        <v>54796</v>
      </c>
      <c r="F106" s="413">
        <v>1855655.2366666663</v>
      </c>
      <c r="G106" s="413">
        <v>1883053.2366666663</v>
      </c>
      <c r="H106" s="431">
        <v>269073.88722723804</v>
      </c>
      <c r="I106" s="432">
        <v>269073.88722723804</v>
      </c>
      <c r="J106" s="54">
        <f t="shared" si="40"/>
        <v>0</v>
      </c>
      <c r="K106" s="54"/>
      <c r="L106" s="324">
        <f t="shared" ref="L106" si="43">H106</f>
        <v>269073.88722723804</v>
      </c>
      <c r="M106" s="63">
        <f t="shared" ref="M106" si="44">IF(L106&lt;&gt;0,+H106-L106,0)</f>
        <v>0</v>
      </c>
      <c r="N106" s="324">
        <f t="shared" ref="N106" si="45">I106</f>
        <v>269073.88722723804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 ht="12.5">
      <c r="B107" s="7" t="str">
        <f t="shared" si="39"/>
        <v/>
      </c>
      <c r="C107" s="450">
        <f>IF(D93="","-",+C106+1)</f>
        <v>2022</v>
      </c>
      <c r="D107" s="411">
        <v>1855655.2366666663</v>
      </c>
      <c r="E107" s="412">
        <v>57606</v>
      </c>
      <c r="F107" s="413">
        <v>1798049.2366666663</v>
      </c>
      <c r="G107" s="413">
        <v>1826852.2366666663</v>
      </c>
      <c r="H107" s="431">
        <v>258893.42584774771</v>
      </c>
      <c r="I107" s="432">
        <v>258893.42584774771</v>
      </c>
      <c r="J107" s="54">
        <f t="shared" si="40"/>
        <v>0</v>
      </c>
      <c r="K107" s="54"/>
      <c r="L107" s="324">
        <f t="shared" ref="L107:L108" si="48">H107</f>
        <v>258893.42584774771</v>
      </c>
      <c r="M107" s="63">
        <f t="shared" ref="M107:M108" si="49">IF(L107&lt;&gt;0,+H107-L107,0)</f>
        <v>0</v>
      </c>
      <c r="N107" s="324">
        <f t="shared" ref="N107:N108" si="50">I107</f>
        <v>258893.42584774771</v>
      </c>
      <c r="O107" s="54">
        <f t="shared" ref="O107:O108" si="51">IF(N107&lt;&gt;0,+I107-N107,0)</f>
        <v>0</v>
      </c>
      <c r="P107" s="54">
        <f t="shared" ref="P107:P108" si="52">+O107-M107</f>
        <v>0</v>
      </c>
    </row>
    <row r="108" spans="1:16" ht="12.5">
      <c r="B108" s="7" t="str">
        <f t="shared" si="39"/>
        <v>IU</v>
      </c>
      <c r="C108" s="50">
        <f>IF(D93="","-",+C107+1)</f>
        <v>2023</v>
      </c>
      <c r="D108" s="411">
        <v>1798049.6666666665</v>
      </c>
      <c r="E108" s="412">
        <v>59122</v>
      </c>
      <c r="F108" s="413">
        <v>1738927.6666666665</v>
      </c>
      <c r="G108" s="413">
        <v>1768488.6666666665</v>
      </c>
      <c r="H108" s="431">
        <v>261131.24875530892</v>
      </c>
      <c r="I108" s="432">
        <v>261131.24875530892</v>
      </c>
      <c r="J108" s="54">
        <f t="shared" si="40"/>
        <v>0</v>
      </c>
      <c r="K108" s="54"/>
      <c r="L108" s="324">
        <f t="shared" si="48"/>
        <v>261131.24875530892</v>
      </c>
      <c r="M108" s="63">
        <f t="shared" si="49"/>
        <v>0</v>
      </c>
      <c r="N108" s="324">
        <f t="shared" si="50"/>
        <v>261131.24875530892</v>
      </c>
      <c r="O108" s="54">
        <f t="shared" si="51"/>
        <v>0</v>
      </c>
      <c r="P108" s="54">
        <f t="shared" si="52"/>
        <v>0</v>
      </c>
    </row>
    <row r="109" spans="1:16" ht="12.5">
      <c r="B109" s="7" t="str">
        <f t="shared" si="39"/>
        <v/>
      </c>
      <c r="C109" s="50">
        <f>IF(D93="","-",+C108+1)</f>
        <v>2024</v>
      </c>
      <c r="D109" s="411">
        <v>1738927.6666666665</v>
      </c>
      <c r="E109" s="412">
        <v>59122</v>
      </c>
      <c r="F109" s="413">
        <v>1679805.6666666665</v>
      </c>
      <c r="G109" s="413">
        <v>1709366.6666666665</v>
      </c>
      <c r="H109" s="431">
        <v>288721.92516892101</v>
      </c>
      <c r="I109" s="432">
        <v>288721.92516892101</v>
      </c>
      <c r="J109" s="54">
        <f t="shared" si="40"/>
        <v>0</v>
      </c>
      <c r="K109" s="54"/>
      <c r="L109" s="324">
        <f t="shared" ref="L109" si="53">H109</f>
        <v>288721.92516892101</v>
      </c>
      <c r="M109" s="63">
        <f t="shared" ref="M109" si="54">IF(L109&lt;&gt;0,+H109-L109,0)</f>
        <v>0</v>
      </c>
      <c r="N109" s="324">
        <f t="shared" ref="N109" si="55">I109</f>
        <v>288721.92516892101</v>
      </c>
      <c r="O109" s="54">
        <f t="shared" ref="O109" si="56">IF(N109&lt;&gt;0,+I109-N109,0)</f>
        <v>0</v>
      </c>
      <c r="P109" s="54">
        <f t="shared" ref="P109" si="57">+O109-M109</f>
        <v>0</v>
      </c>
    </row>
    <row r="110" spans="1:16" ht="12.5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1679805.6666666665</v>
      </c>
      <c r="E110" s="354">
        <f t="shared" ref="E110:E154" si="58">IF(+J$96&lt;F109,J$96,D110)</f>
        <v>60720</v>
      </c>
      <c r="F110" s="55">
        <f t="shared" ref="F110:F154" si="59">+D110-E110</f>
        <v>1619085.6666666665</v>
      </c>
      <c r="G110" s="55">
        <f t="shared" ref="G110:G154" si="60">+(F110+D110)/2</f>
        <v>1649445.6666666665</v>
      </c>
      <c r="H110" s="356">
        <f t="shared" ref="H110:H154" si="61">+J$94*G110+E110</f>
        <v>282271.41376154975</v>
      </c>
      <c r="I110" s="381">
        <f t="shared" ref="I110:I154" si="62">+J$95*G110+E110</f>
        <v>282271.41376154975</v>
      </c>
      <c r="J110" s="54">
        <f t="shared" si="40"/>
        <v>0</v>
      </c>
      <c r="K110" s="54"/>
      <c r="L110" s="115"/>
      <c r="M110" s="54">
        <f t="shared" ref="M110:M130" si="63">IF(L110&lt;&gt;0,+H110-L110,0)</f>
        <v>0</v>
      </c>
      <c r="N110" s="115"/>
      <c r="O110" s="54">
        <f t="shared" si="41"/>
        <v>0</v>
      </c>
      <c r="P110" s="54">
        <f t="shared" si="42"/>
        <v>0</v>
      </c>
    </row>
    <row r="111" spans="1:16" ht="12.5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1619085.6666666665</v>
      </c>
      <c r="E111" s="354">
        <f t="shared" si="58"/>
        <v>60720</v>
      </c>
      <c r="F111" s="55">
        <f t="shared" si="59"/>
        <v>1558365.6666666665</v>
      </c>
      <c r="G111" s="55">
        <f t="shared" si="60"/>
        <v>1588725.6666666665</v>
      </c>
      <c r="H111" s="356">
        <f t="shared" si="61"/>
        <v>274115.58170508232</v>
      </c>
      <c r="I111" s="381">
        <f t="shared" si="62"/>
        <v>274115.58170508232</v>
      </c>
      <c r="J111" s="54">
        <f t="shared" si="40"/>
        <v>0</v>
      </c>
      <c r="K111" s="54"/>
      <c r="L111" s="115"/>
      <c r="M111" s="54">
        <f t="shared" si="63"/>
        <v>0</v>
      </c>
      <c r="N111" s="115"/>
      <c r="O111" s="54">
        <f t="shared" si="41"/>
        <v>0</v>
      </c>
      <c r="P111" s="54">
        <f t="shared" si="42"/>
        <v>0</v>
      </c>
    </row>
    <row r="112" spans="1:16" ht="12.5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1558365.6666666665</v>
      </c>
      <c r="E112" s="354">
        <f t="shared" si="58"/>
        <v>60720</v>
      </c>
      <c r="F112" s="55">
        <f t="shared" si="59"/>
        <v>1497645.6666666665</v>
      </c>
      <c r="G112" s="55">
        <f t="shared" si="60"/>
        <v>1528005.6666666665</v>
      </c>
      <c r="H112" s="356">
        <f t="shared" si="61"/>
        <v>265959.7496486149</v>
      </c>
      <c r="I112" s="381">
        <f t="shared" si="62"/>
        <v>265959.7496486149</v>
      </c>
      <c r="J112" s="54">
        <f t="shared" si="40"/>
        <v>0</v>
      </c>
      <c r="K112" s="54"/>
      <c r="L112" s="115"/>
      <c r="M112" s="54">
        <f t="shared" si="63"/>
        <v>0</v>
      </c>
      <c r="N112" s="115"/>
      <c r="O112" s="54">
        <f t="shared" si="41"/>
        <v>0</v>
      </c>
      <c r="P112" s="54">
        <f t="shared" si="42"/>
        <v>0</v>
      </c>
    </row>
    <row r="113" spans="2:16" ht="12.5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1497645.6666666665</v>
      </c>
      <c r="E113" s="354">
        <f t="shared" si="58"/>
        <v>60720</v>
      </c>
      <c r="F113" s="55">
        <f t="shared" si="59"/>
        <v>1436925.6666666665</v>
      </c>
      <c r="G113" s="55">
        <f t="shared" si="60"/>
        <v>1467285.6666666665</v>
      </c>
      <c r="H113" s="356">
        <f t="shared" si="61"/>
        <v>257803.91759214742</v>
      </c>
      <c r="I113" s="381">
        <f t="shared" si="62"/>
        <v>257803.91759214742</v>
      </c>
      <c r="J113" s="54">
        <f t="shared" si="40"/>
        <v>0</v>
      </c>
      <c r="K113" s="54"/>
      <c r="L113" s="115"/>
      <c r="M113" s="54">
        <f t="shared" si="63"/>
        <v>0</v>
      </c>
      <c r="N113" s="115"/>
      <c r="O113" s="54">
        <f t="shared" si="41"/>
        <v>0</v>
      </c>
      <c r="P113" s="54">
        <f t="shared" si="42"/>
        <v>0</v>
      </c>
    </row>
    <row r="114" spans="2:16" ht="12.5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1436925.6666666665</v>
      </c>
      <c r="E114" s="354">
        <f t="shared" si="58"/>
        <v>60720</v>
      </c>
      <c r="F114" s="55">
        <f t="shared" si="59"/>
        <v>1376205.6666666665</v>
      </c>
      <c r="G114" s="55">
        <f t="shared" si="60"/>
        <v>1406565.6666666665</v>
      </c>
      <c r="H114" s="356">
        <f t="shared" si="61"/>
        <v>249648.08553568</v>
      </c>
      <c r="I114" s="381">
        <f t="shared" si="62"/>
        <v>249648.08553568</v>
      </c>
      <c r="J114" s="54">
        <f t="shared" si="40"/>
        <v>0</v>
      </c>
      <c r="K114" s="54"/>
      <c r="L114" s="115"/>
      <c r="M114" s="54">
        <f t="shared" si="63"/>
        <v>0</v>
      </c>
      <c r="N114" s="115"/>
      <c r="O114" s="54">
        <f t="shared" si="41"/>
        <v>0</v>
      </c>
      <c r="P114" s="54">
        <f t="shared" si="42"/>
        <v>0</v>
      </c>
    </row>
    <row r="115" spans="2:16" ht="12.5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1376205.6666666665</v>
      </c>
      <c r="E115" s="354">
        <f t="shared" si="58"/>
        <v>60720</v>
      </c>
      <c r="F115" s="55">
        <f t="shared" si="59"/>
        <v>1315485.6666666665</v>
      </c>
      <c r="G115" s="55">
        <f t="shared" si="60"/>
        <v>1345845.6666666665</v>
      </c>
      <c r="H115" s="356">
        <f t="shared" si="61"/>
        <v>241492.25347921255</v>
      </c>
      <c r="I115" s="381">
        <f t="shared" si="62"/>
        <v>241492.25347921255</v>
      </c>
      <c r="J115" s="54">
        <f t="shared" si="40"/>
        <v>0</v>
      </c>
      <c r="K115" s="54"/>
      <c r="L115" s="115"/>
      <c r="M115" s="54">
        <f t="shared" si="63"/>
        <v>0</v>
      </c>
      <c r="N115" s="115"/>
      <c r="O115" s="54">
        <f t="shared" si="41"/>
        <v>0</v>
      </c>
      <c r="P115" s="54">
        <f t="shared" si="42"/>
        <v>0</v>
      </c>
    </row>
    <row r="116" spans="2:16" ht="12.5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1315485.6666666665</v>
      </c>
      <c r="E116" s="354">
        <f t="shared" si="58"/>
        <v>60720</v>
      </c>
      <c r="F116" s="55">
        <f t="shared" si="59"/>
        <v>1254765.6666666665</v>
      </c>
      <c r="G116" s="55">
        <f t="shared" si="60"/>
        <v>1285125.6666666665</v>
      </c>
      <c r="H116" s="356">
        <f t="shared" si="61"/>
        <v>233336.42142274513</v>
      </c>
      <c r="I116" s="381">
        <f t="shared" si="62"/>
        <v>233336.42142274513</v>
      </c>
      <c r="J116" s="54">
        <f t="shared" si="40"/>
        <v>0</v>
      </c>
      <c r="K116" s="54"/>
      <c r="L116" s="115"/>
      <c r="M116" s="54">
        <f t="shared" si="63"/>
        <v>0</v>
      </c>
      <c r="N116" s="115"/>
      <c r="O116" s="54">
        <f t="shared" si="41"/>
        <v>0</v>
      </c>
      <c r="P116" s="54">
        <f t="shared" si="42"/>
        <v>0</v>
      </c>
    </row>
    <row r="117" spans="2:16" ht="12.5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1254765.6666666665</v>
      </c>
      <c r="E117" s="354">
        <f t="shared" si="58"/>
        <v>60720</v>
      </c>
      <c r="F117" s="55">
        <f t="shared" si="59"/>
        <v>1194045.6666666665</v>
      </c>
      <c r="G117" s="55">
        <f t="shared" si="60"/>
        <v>1224405.6666666665</v>
      </c>
      <c r="H117" s="356">
        <f t="shared" si="61"/>
        <v>225180.58936627768</v>
      </c>
      <c r="I117" s="381">
        <f t="shared" si="62"/>
        <v>225180.58936627768</v>
      </c>
      <c r="J117" s="54">
        <f t="shared" si="40"/>
        <v>0</v>
      </c>
      <c r="K117" s="54"/>
      <c r="L117" s="115"/>
      <c r="M117" s="54">
        <f t="shared" si="63"/>
        <v>0</v>
      </c>
      <c r="N117" s="115"/>
      <c r="O117" s="54">
        <f t="shared" si="41"/>
        <v>0</v>
      </c>
      <c r="P117" s="54">
        <f t="shared" si="42"/>
        <v>0</v>
      </c>
    </row>
    <row r="118" spans="2:16" ht="12.5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1194045.6666666665</v>
      </c>
      <c r="E118" s="354">
        <f t="shared" si="58"/>
        <v>60720</v>
      </c>
      <c r="F118" s="55">
        <f t="shared" si="59"/>
        <v>1133325.6666666665</v>
      </c>
      <c r="G118" s="55">
        <f t="shared" si="60"/>
        <v>1163685.6666666665</v>
      </c>
      <c r="H118" s="356">
        <f t="shared" si="61"/>
        <v>217024.75730981026</v>
      </c>
      <c r="I118" s="381">
        <f t="shared" si="62"/>
        <v>217024.75730981026</v>
      </c>
      <c r="J118" s="54">
        <f t="shared" si="40"/>
        <v>0</v>
      </c>
      <c r="K118" s="54"/>
      <c r="L118" s="115"/>
      <c r="M118" s="54">
        <f t="shared" si="63"/>
        <v>0</v>
      </c>
      <c r="N118" s="115"/>
      <c r="O118" s="54">
        <f t="shared" si="41"/>
        <v>0</v>
      </c>
      <c r="P118" s="54">
        <f t="shared" si="42"/>
        <v>0</v>
      </c>
    </row>
    <row r="119" spans="2:16" ht="12.5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1133325.6666666665</v>
      </c>
      <c r="E119" s="354">
        <f t="shared" si="58"/>
        <v>60720</v>
      </c>
      <c r="F119" s="55">
        <f t="shared" si="59"/>
        <v>1072605.6666666665</v>
      </c>
      <c r="G119" s="55">
        <f t="shared" si="60"/>
        <v>1102965.6666666665</v>
      </c>
      <c r="H119" s="356">
        <f t="shared" si="61"/>
        <v>208868.92525334281</v>
      </c>
      <c r="I119" s="381">
        <f t="shared" si="62"/>
        <v>208868.92525334281</v>
      </c>
      <c r="J119" s="54">
        <f t="shared" si="40"/>
        <v>0</v>
      </c>
      <c r="K119" s="54"/>
      <c r="L119" s="115"/>
      <c r="M119" s="54">
        <f t="shared" si="63"/>
        <v>0</v>
      </c>
      <c r="N119" s="115"/>
      <c r="O119" s="54">
        <f t="shared" si="41"/>
        <v>0</v>
      </c>
      <c r="P119" s="54">
        <f t="shared" si="42"/>
        <v>0</v>
      </c>
    </row>
    <row r="120" spans="2:16" ht="12.5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1072605.6666666665</v>
      </c>
      <c r="E120" s="354">
        <f t="shared" si="58"/>
        <v>60720</v>
      </c>
      <c r="F120" s="55">
        <f t="shared" si="59"/>
        <v>1011885.6666666665</v>
      </c>
      <c r="G120" s="55">
        <f t="shared" si="60"/>
        <v>1042245.6666666665</v>
      </c>
      <c r="H120" s="356">
        <f t="shared" si="61"/>
        <v>200713.09319687539</v>
      </c>
      <c r="I120" s="381">
        <f t="shared" si="62"/>
        <v>200713.09319687539</v>
      </c>
      <c r="J120" s="54">
        <f t="shared" si="40"/>
        <v>0</v>
      </c>
      <c r="K120" s="54"/>
      <c r="L120" s="115"/>
      <c r="M120" s="54">
        <f t="shared" si="63"/>
        <v>0</v>
      </c>
      <c r="N120" s="115"/>
      <c r="O120" s="54">
        <f t="shared" si="41"/>
        <v>0</v>
      </c>
      <c r="P120" s="54">
        <f t="shared" si="42"/>
        <v>0</v>
      </c>
    </row>
    <row r="121" spans="2:16" ht="12.5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1011885.6666666665</v>
      </c>
      <c r="E121" s="354">
        <f t="shared" si="58"/>
        <v>60720</v>
      </c>
      <c r="F121" s="55">
        <f t="shared" si="59"/>
        <v>951165.66666666651</v>
      </c>
      <c r="G121" s="55">
        <f t="shared" si="60"/>
        <v>981525.66666666651</v>
      </c>
      <c r="H121" s="356">
        <f t="shared" si="61"/>
        <v>192557.26114040794</v>
      </c>
      <c r="I121" s="381">
        <f t="shared" si="62"/>
        <v>192557.26114040794</v>
      </c>
      <c r="J121" s="54">
        <f t="shared" si="40"/>
        <v>0</v>
      </c>
      <c r="K121" s="54"/>
      <c r="L121" s="115"/>
      <c r="M121" s="54">
        <f t="shared" si="63"/>
        <v>0</v>
      </c>
      <c r="N121" s="115"/>
      <c r="O121" s="54">
        <f t="shared" si="41"/>
        <v>0</v>
      </c>
      <c r="P121" s="54">
        <f t="shared" si="42"/>
        <v>0</v>
      </c>
    </row>
    <row r="122" spans="2:16" ht="12.5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951165.66666666651</v>
      </c>
      <c r="E122" s="354">
        <f t="shared" si="58"/>
        <v>60720</v>
      </c>
      <c r="F122" s="55">
        <f t="shared" si="59"/>
        <v>890445.66666666651</v>
      </c>
      <c r="G122" s="55">
        <f t="shared" si="60"/>
        <v>920805.66666666651</v>
      </c>
      <c r="H122" s="356">
        <f t="shared" si="61"/>
        <v>184401.42908394051</v>
      </c>
      <c r="I122" s="381">
        <f t="shared" si="62"/>
        <v>184401.42908394051</v>
      </c>
      <c r="J122" s="54">
        <f t="shared" si="40"/>
        <v>0</v>
      </c>
      <c r="K122" s="54"/>
      <c r="L122" s="115"/>
      <c r="M122" s="54">
        <f t="shared" si="63"/>
        <v>0</v>
      </c>
      <c r="N122" s="115"/>
      <c r="O122" s="54">
        <f t="shared" si="41"/>
        <v>0</v>
      </c>
      <c r="P122" s="54">
        <f t="shared" si="42"/>
        <v>0</v>
      </c>
    </row>
    <row r="123" spans="2:16" ht="12.5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890445.66666666651</v>
      </c>
      <c r="E123" s="354">
        <f t="shared" si="58"/>
        <v>60720</v>
      </c>
      <c r="F123" s="55">
        <f t="shared" si="59"/>
        <v>829725.66666666651</v>
      </c>
      <c r="G123" s="55">
        <f t="shared" si="60"/>
        <v>860085.66666666651</v>
      </c>
      <c r="H123" s="356">
        <f t="shared" si="61"/>
        <v>176245.59702747306</v>
      </c>
      <c r="I123" s="381">
        <f t="shared" si="62"/>
        <v>176245.59702747306</v>
      </c>
      <c r="J123" s="54">
        <f t="shared" si="40"/>
        <v>0</v>
      </c>
      <c r="K123" s="54"/>
      <c r="L123" s="115"/>
      <c r="M123" s="54">
        <f t="shared" si="63"/>
        <v>0</v>
      </c>
      <c r="N123" s="115"/>
      <c r="O123" s="54">
        <f t="shared" si="41"/>
        <v>0</v>
      </c>
      <c r="P123" s="54">
        <f t="shared" si="42"/>
        <v>0</v>
      </c>
    </row>
    <row r="124" spans="2:16" ht="12.5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829725.66666666651</v>
      </c>
      <c r="E124" s="354">
        <f t="shared" si="58"/>
        <v>60720</v>
      </c>
      <c r="F124" s="55">
        <f t="shared" si="59"/>
        <v>769005.66666666651</v>
      </c>
      <c r="G124" s="55">
        <f t="shared" si="60"/>
        <v>799365.66666666651</v>
      </c>
      <c r="H124" s="356">
        <f t="shared" si="61"/>
        <v>168089.76497100561</v>
      </c>
      <c r="I124" s="381">
        <f t="shared" si="62"/>
        <v>168089.76497100561</v>
      </c>
      <c r="J124" s="54">
        <f t="shared" si="40"/>
        <v>0</v>
      </c>
      <c r="K124" s="54"/>
      <c r="L124" s="115"/>
      <c r="M124" s="54">
        <f t="shared" si="63"/>
        <v>0</v>
      </c>
      <c r="N124" s="115"/>
      <c r="O124" s="54">
        <f t="shared" si="41"/>
        <v>0</v>
      </c>
      <c r="P124" s="54">
        <f t="shared" si="42"/>
        <v>0</v>
      </c>
    </row>
    <row r="125" spans="2:16" ht="12.5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769005.66666666651</v>
      </c>
      <c r="E125" s="354">
        <f t="shared" si="58"/>
        <v>60720</v>
      </c>
      <c r="F125" s="55">
        <f t="shared" si="59"/>
        <v>708285.66666666651</v>
      </c>
      <c r="G125" s="55">
        <f t="shared" si="60"/>
        <v>738645.66666666651</v>
      </c>
      <c r="H125" s="356">
        <f t="shared" si="61"/>
        <v>159933.93291453819</v>
      </c>
      <c r="I125" s="381">
        <f t="shared" si="62"/>
        <v>159933.93291453819</v>
      </c>
      <c r="J125" s="54">
        <f t="shared" si="40"/>
        <v>0</v>
      </c>
      <c r="K125" s="54"/>
      <c r="L125" s="115"/>
      <c r="M125" s="54">
        <f t="shared" si="63"/>
        <v>0</v>
      </c>
      <c r="N125" s="115"/>
      <c r="O125" s="54">
        <f t="shared" si="41"/>
        <v>0</v>
      </c>
      <c r="P125" s="54">
        <f t="shared" si="42"/>
        <v>0</v>
      </c>
    </row>
    <row r="126" spans="2:16" ht="12.5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708285.66666666651</v>
      </c>
      <c r="E126" s="354">
        <f t="shared" si="58"/>
        <v>60720</v>
      </c>
      <c r="F126" s="55">
        <f t="shared" si="59"/>
        <v>647565.66666666651</v>
      </c>
      <c r="G126" s="55">
        <f t="shared" si="60"/>
        <v>677925.66666666651</v>
      </c>
      <c r="H126" s="356">
        <f t="shared" si="61"/>
        <v>151778.10085807077</v>
      </c>
      <c r="I126" s="381">
        <f t="shared" si="62"/>
        <v>151778.10085807077</v>
      </c>
      <c r="J126" s="54">
        <f t="shared" si="40"/>
        <v>0</v>
      </c>
      <c r="K126" s="54"/>
      <c r="L126" s="115"/>
      <c r="M126" s="54">
        <f t="shared" si="63"/>
        <v>0</v>
      </c>
      <c r="N126" s="115"/>
      <c r="O126" s="54">
        <f t="shared" si="41"/>
        <v>0</v>
      </c>
      <c r="P126" s="54">
        <f t="shared" si="42"/>
        <v>0</v>
      </c>
    </row>
    <row r="127" spans="2:16" ht="12.5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647565.66666666651</v>
      </c>
      <c r="E127" s="354">
        <f t="shared" si="58"/>
        <v>60720</v>
      </c>
      <c r="F127" s="55">
        <f t="shared" si="59"/>
        <v>586845.66666666651</v>
      </c>
      <c r="G127" s="55">
        <f t="shared" si="60"/>
        <v>617205.66666666651</v>
      </c>
      <c r="H127" s="356">
        <f t="shared" si="61"/>
        <v>143622.26880160332</v>
      </c>
      <c r="I127" s="381">
        <f t="shared" si="62"/>
        <v>143622.26880160332</v>
      </c>
      <c r="J127" s="54">
        <f t="shared" si="40"/>
        <v>0</v>
      </c>
      <c r="K127" s="54"/>
      <c r="L127" s="115"/>
      <c r="M127" s="54">
        <f t="shared" si="63"/>
        <v>0</v>
      </c>
      <c r="N127" s="115"/>
      <c r="O127" s="54">
        <f t="shared" si="41"/>
        <v>0</v>
      </c>
      <c r="P127" s="54">
        <f t="shared" si="42"/>
        <v>0</v>
      </c>
    </row>
    <row r="128" spans="2:16" ht="12.5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586845.66666666651</v>
      </c>
      <c r="E128" s="354">
        <f t="shared" si="58"/>
        <v>60720</v>
      </c>
      <c r="F128" s="55">
        <f t="shared" si="59"/>
        <v>526125.66666666651</v>
      </c>
      <c r="G128" s="55">
        <f t="shared" si="60"/>
        <v>556485.66666666651</v>
      </c>
      <c r="H128" s="356">
        <f t="shared" si="61"/>
        <v>135466.43674513587</v>
      </c>
      <c r="I128" s="381">
        <f t="shared" si="62"/>
        <v>135466.43674513587</v>
      </c>
      <c r="J128" s="54">
        <f t="shared" si="40"/>
        <v>0</v>
      </c>
      <c r="K128" s="54"/>
      <c r="L128" s="115"/>
      <c r="M128" s="54">
        <f t="shared" si="63"/>
        <v>0</v>
      </c>
      <c r="N128" s="115"/>
      <c r="O128" s="54">
        <f t="shared" si="41"/>
        <v>0</v>
      </c>
      <c r="P128" s="54">
        <f t="shared" si="42"/>
        <v>0</v>
      </c>
    </row>
    <row r="129" spans="2:16" ht="12.5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526125.66666666651</v>
      </c>
      <c r="E129" s="354">
        <f t="shared" si="58"/>
        <v>60720</v>
      </c>
      <c r="F129" s="55">
        <f t="shared" si="59"/>
        <v>465405.66666666651</v>
      </c>
      <c r="G129" s="55">
        <f t="shared" si="60"/>
        <v>495765.66666666651</v>
      </c>
      <c r="H129" s="356">
        <f t="shared" si="61"/>
        <v>127310.60468866845</v>
      </c>
      <c r="I129" s="381">
        <f t="shared" si="62"/>
        <v>127310.60468866845</v>
      </c>
      <c r="J129" s="54">
        <f t="shared" si="40"/>
        <v>0</v>
      </c>
      <c r="K129" s="54"/>
      <c r="L129" s="115"/>
      <c r="M129" s="54">
        <f t="shared" si="63"/>
        <v>0</v>
      </c>
      <c r="N129" s="115"/>
      <c r="O129" s="54">
        <f t="shared" si="41"/>
        <v>0</v>
      </c>
      <c r="P129" s="54">
        <f t="shared" si="42"/>
        <v>0</v>
      </c>
    </row>
    <row r="130" spans="2:16" ht="12.5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465405.66666666651</v>
      </c>
      <c r="E130" s="354">
        <f t="shared" si="58"/>
        <v>60720</v>
      </c>
      <c r="F130" s="55">
        <f t="shared" si="59"/>
        <v>404685.66666666651</v>
      </c>
      <c r="G130" s="55">
        <f t="shared" si="60"/>
        <v>435045.66666666651</v>
      </c>
      <c r="H130" s="356">
        <f t="shared" si="61"/>
        <v>119154.77263220101</v>
      </c>
      <c r="I130" s="381">
        <f t="shared" si="62"/>
        <v>119154.77263220101</v>
      </c>
      <c r="J130" s="54">
        <f t="shared" si="40"/>
        <v>0</v>
      </c>
      <c r="K130" s="54"/>
      <c r="L130" s="115"/>
      <c r="M130" s="54">
        <f t="shared" si="63"/>
        <v>0</v>
      </c>
      <c r="N130" s="115"/>
      <c r="O130" s="54">
        <f t="shared" si="41"/>
        <v>0</v>
      </c>
      <c r="P130" s="54">
        <f t="shared" si="42"/>
        <v>0</v>
      </c>
    </row>
    <row r="131" spans="2:16" ht="12.5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404685.66666666651</v>
      </c>
      <c r="E131" s="354">
        <f t="shared" si="58"/>
        <v>60720</v>
      </c>
      <c r="F131" s="55">
        <f t="shared" si="59"/>
        <v>343965.66666666651</v>
      </c>
      <c r="G131" s="55">
        <f t="shared" si="60"/>
        <v>374325.66666666651</v>
      </c>
      <c r="H131" s="356">
        <f t="shared" si="61"/>
        <v>110998.94057573358</v>
      </c>
      <c r="I131" s="381">
        <f t="shared" si="62"/>
        <v>110998.94057573358</v>
      </c>
      <c r="J131" s="54">
        <f t="shared" si="40"/>
        <v>0</v>
      </c>
      <c r="K131" s="54"/>
      <c r="L131" s="115"/>
      <c r="M131" s="54">
        <f t="shared" ref="M131:M154" si="64">IF(L540&lt;&gt;0,+H540-L540,0)</f>
        <v>0</v>
      </c>
      <c r="N131" s="115"/>
      <c r="O131" s="54">
        <f t="shared" ref="O131:O154" si="65">IF(N540&lt;&gt;0,+I540-N540,0)</f>
        <v>0</v>
      </c>
      <c r="P131" s="54">
        <f t="shared" ref="P131:P154" si="66">+O540-M540</f>
        <v>0</v>
      </c>
    </row>
    <row r="132" spans="2:16" ht="12.5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343965.66666666651</v>
      </c>
      <c r="E132" s="354">
        <f t="shared" si="58"/>
        <v>60720</v>
      </c>
      <c r="F132" s="55">
        <f t="shared" si="59"/>
        <v>283245.66666666651</v>
      </c>
      <c r="G132" s="55">
        <f t="shared" si="60"/>
        <v>313605.66666666651</v>
      </c>
      <c r="H132" s="356">
        <f t="shared" si="61"/>
        <v>102843.10851926614</v>
      </c>
      <c r="I132" s="381">
        <f t="shared" si="62"/>
        <v>102843.10851926614</v>
      </c>
      <c r="J132" s="54">
        <f t="shared" si="40"/>
        <v>0</v>
      </c>
      <c r="K132" s="54"/>
      <c r="L132" s="115"/>
      <c r="M132" s="54">
        <f t="shared" si="64"/>
        <v>0</v>
      </c>
      <c r="N132" s="115"/>
      <c r="O132" s="54">
        <f t="shared" si="65"/>
        <v>0</v>
      </c>
      <c r="P132" s="54">
        <f t="shared" si="66"/>
        <v>0</v>
      </c>
    </row>
    <row r="133" spans="2:16" ht="12.5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283245.66666666651</v>
      </c>
      <c r="E133" s="354">
        <f t="shared" si="58"/>
        <v>60720</v>
      </c>
      <c r="F133" s="55">
        <f t="shared" si="59"/>
        <v>222525.66666666651</v>
      </c>
      <c r="G133" s="55">
        <f t="shared" si="60"/>
        <v>252885.66666666651</v>
      </c>
      <c r="H133" s="356">
        <f t="shared" si="61"/>
        <v>94687.276462798705</v>
      </c>
      <c r="I133" s="381">
        <f t="shared" si="62"/>
        <v>94687.276462798705</v>
      </c>
      <c r="J133" s="54">
        <f t="shared" si="40"/>
        <v>0</v>
      </c>
      <c r="K133" s="54"/>
      <c r="L133" s="115"/>
      <c r="M133" s="54">
        <f t="shared" si="64"/>
        <v>0</v>
      </c>
      <c r="N133" s="115"/>
      <c r="O133" s="54">
        <f t="shared" si="65"/>
        <v>0</v>
      </c>
      <c r="P133" s="54">
        <f t="shared" si="66"/>
        <v>0</v>
      </c>
    </row>
    <row r="134" spans="2:16" ht="12.5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222525.66666666651</v>
      </c>
      <c r="E134" s="354">
        <f t="shared" si="58"/>
        <v>60720</v>
      </c>
      <c r="F134" s="55">
        <f t="shared" si="59"/>
        <v>161805.66666666651</v>
      </c>
      <c r="G134" s="55">
        <f t="shared" si="60"/>
        <v>192165.66666666651</v>
      </c>
      <c r="H134" s="356">
        <f t="shared" si="61"/>
        <v>86531.444406331269</v>
      </c>
      <c r="I134" s="381">
        <f t="shared" si="62"/>
        <v>86531.444406331269</v>
      </c>
      <c r="J134" s="54">
        <f t="shared" si="40"/>
        <v>0</v>
      </c>
      <c r="K134" s="54"/>
      <c r="L134" s="115"/>
      <c r="M134" s="54">
        <f t="shared" si="64"/>
        <v>0</v>
      </c>
      <c r="N134" s="115"/>
      <c r="O134" s="54">
        <f t="shared" si="65"/>
        <v>0</v>
      </c>
      <c r="P134" s="54">
        <f t="shared" si="66"/>
        <v>0</v>
      </c>
    </row>
    <row r="135" spans="2:16" ht="12.5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161805.66666666651</v>
      </c>
      <c r="E135" s="354">
        <f t="shared" si="58"/>
        <v>60720</v>
      </c>
      <c r="F135" s="55">
        <f t="shared" si="59"/>
        <v>101085.66666666651</v>
      </c>
      <c r="G135" s="55">
        <f t="shared" si="60"/>
        <v>131445.66666666651</v>
      </c>
      <c r="H135" s="356">
        <f t="shared" si="61"/>
        <v>78375.612349863834</v>
      </c>
      <c r="I135" s="381">
        <f t="shared" si="62"/>
        <v>78375.612349863834</v>
      </c>
      <c r="J135" s="54">
        <f t="shared" si="40"/>
        <v>0</v>
      </c>
      <c r="K135" s="54"/>
      <c r="L135" s="115"/>
      <c r="M135" s="54">
        <f t="shared" si="64"/>
        <v>0</v>
      </c>
      <c r="N135" s="115"/>
      <c r="O135" s="54">
        <f t="shared" si="65"/>
        <v>0</v>
      </c>
      <c r="P135" s="54">
        <f t="shared" si="66"/>
        <v>0</v>
      </c>
    </row>
    <row r="136" spans="2:16" ht="12.5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101085.66666666651</v>
      </c>
      <c r="E136" s="354">
        <f t="shared" si="58"/>
        <v>60720</v>
      </c>
      <c r="F136" s="55">
        <f t="shared" si="59"/>
        <v>40365.666666666511</v>
      </c>
      <c r="G136" s="55">
        <f t="shared" si="60"/>
        <v>70725.666666666511</v>
      </c>
      <c r="H136" s="356">
        <f t="shared" si="61"/>
        <v>70219.780293396398</v>
      </c>
      <c r="I136" s="381">
        <f t="shared" si="62"/>
        <v>70219.780293396398</v>
      </c>
      <c r="J136" s="54">
        <f t="shared" si="40"/>
        <v>0</v>
      </c>
      <c r="K136" s="54"/>
      <c r="L136" s="115"/>
      <c r="M136" s="54">
        <f t="shared" si="64"/>
        <v>0</v>
      </c>
      <c r="N136" s="115"/>
      <c r="O136" s="54">
        <f t="shared" si="65"/>
        <v>0</v>
      </c>
      <c r="P136" s="54">
        <f t="shared" si="66"/>
        <v>0</v>
      </c>
    </row>
    <row r="137" spans="2:16" ht="12.5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40365.666666666511</v>
      </c>
      <c r="E137" s="354">
        <f t="shared" si="58"/>
        <v>40365.666666666511</v>
      </c>
      <c r="F137" s="55">
        <f t="shared" si="59"/>
        <v>0</v>
      </c>
      <c r="G137" s="55">
        <f t="shared" si="60"/>
        <v>20182.833333333256</v>
      </c>
      <c r="H137" s="356">
        <f t="shared" si="61"/>
        <v>43076.598799247848</v>
      </c>
      <c r="I137" s="381">
        <f t="shared" si="62"/>
        <v>43076.598799247848</v>
      </c>
      <c r="J137" s="54">
        <f t="shared" si="40"/>
        <v>0</v>
      </c>
      <c r="K137" s="54"/>
      <c r="L137" s="115"/>
      <c r="M137" s="54">
        <f t="shared" si="64"/>
        <v>0</v>
      </c>
      <c r="N137" s="115"/>
      <c r="O137" s="54">
        <f t="shared" si="65"/>
        <v>0</v>
      </c>
      <c r="P137" s="54">
        <f t="shared" si="66"/>
        <v>0</v>
      </c>
    </row>
    <row r="138" spans="2:16" ht="12.5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0</v>
      </c>
      <c r="E138" s="354">
        <f t="shared" si="58"/>
        <v>0</v>
      </c>
      <c r="F138" s="55">
        <f t="shared" si="59"/>
        <v>0</v>
      </c>
      <c r="G138" s="55">
        <f t="shared" si="60"/>
        <v>0</v>
      </c>
      <c r="H138" s="356">
        <f t="shared" si="61"/>
        <v>0</v>
      </c>
      <c r="I138" s="381">
        <f t="shared" si="62"/>
        <v>0</v>
      </c>
      <c r="J138" s="54">
        <f t="shared" si="40"/>
        <v>0</v>
      </c>
      <c r="K138" s="54"/>
      <c r="L138" s="115"/>
      <c r="M138" s="54">
        <f t="shared" si="64"/>
        <v>0</v>
      </c>
      <c r="N138" s="115"/>
      <c r="O138" s="54">
        <f t="shared" si="65"/>
        <v>0</v>
      </c>
      <c r="P138" s="54">
        <f t="shared" si="66"/>
        <v>0</v>
      </c>
    </row>
    <row r="139" spans="2:16" ht="12.5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8"/>
        <v>0</v>
      </c>
      <c r="F139" s="55">
        <f t="shared" si="59"/>
        <v>0</v>
      </c>
      <c r="G139" s="55">
        <f t="shared" si="60"/>
        <v>0</v>
      </c>
      <c r="H139" s="356">
        <f t="shared" si="61"/>
        <v>0</v>
      </c>
      <c r="I139" s="381">
        <f t="shared" si="62"/>
        <v>0</v>
      </c>
      <c r="J139" s="54">
        <f t="shared" si="40"/>
        <v>0</v>
      </c>
      <c r="K139" s="54"/>
      <c r="L139" s="115"/>
      <c r="M139" s="54">
        <f t="shared" si="64"/>
        <v>0</v>
      </c>
      <c r="N139" s="115"/>
      <c r="O139" s="54">
        <f t="shared" si="65"/>
        <v>0</v>
      </c>
      <c r="P139" s="54">
        <f t="shared" si="66"/>
        <v>0</v>
      </c>
    </row>
    <row r="140" spans="2:16" ht="12.5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8"/>
        <v>0</v>
      </c>
      <c r="F140" s="55">
        <f t="shared" si="59"/>
        <v>0</v>
      </c>
      <c r="G140" s="55">
        <f t="shared" si="60"/>
        <v>0</v>
      </c>
      <c r="H140" s="356">
        <f t="shared" si="61"/>
        <v>0</v>
      </c>
      <c r="I140" s="381">
        <f t="shared" si="62"/>
        <v>0</v>
      </c>
      <c r="J140" s="54">
        <f t="shared" si="40"/>
        <v>0</v>
      </c>
      <c r="K140" s="54"/>
      <c r="L140" s="115"/>
      <c r="M140" s="54">
        <f t="shared" si="64"/>
        <v>0</v>
      </c>
      <c r="N140" s="115"/>
      <c r="O140" s="54">
        <f t="shared" si="65"/>
        <v>0</v>
      </c>
      <c r="P140" s="54">
        <f t="shared" si="66"/>
        <v>0</v>
      </c>
    </row>
    <row r="141" spans="2:16" ht="12.5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8"/>
        <v>0</v>
      </c>
      <c r="F141" s="55">
        <f t="shared" si="59"/>
        <v>0</v>
      </c>
      <c r="G141" s="55">
        <f t="shared" si="60"/>
        <v>0</v>
      </c>
      <c r="H141" s="356">
        <f t="shared" si="61"/>
        <v>0</v>
      </c>
      <c r="I141" s="381">
        <f t="shared" si="62"/>
        <v>0</v>
      </c>
      <c r="J141" s="54">
        <f t="shared" si="40"/>
        <v>0</v>
      </c>
      <c r="K141" s="54"/>
      <c r="L141" s="115"/>
      <c r="M141" s="54">
        <f t="shared" si="64"/>
        <v>0</v>
      </c>
      <c r="N141" s="115"/>
      <c r="O141" s="54">
        <f t="shared" si="65"/>
        <v>0</v>
      </c>
      <c r="P141" s="54">
        <f t="shared" si="66"/>
        <v>0</v>
      </c>
    </row>
    <row r="142" spans="2:16" ht="12.5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8"/>
        <v>0</v>
      </c>
      <c r="F142" s="55">
        <f t="shared" si="59"/>
        <v>0</v>
      </c>
      <c r="G142" s="55">
        <f t="shared" si="60"/>
        <v>0</v>
      </c>
      <c r="H142" s="356">
        <f t="shared" si="61"/>
        <v>0</v>
      </c>
      <c r="I142" s="381">
        <f t="shared" si="62"/>
        <v>0</v>
      </c>
      <c r="J142" s="54">
        <f t="shared" si="40"/>
        <v>0</v>
      </c>
      <c r="K142" s="54"/>
      <c r="L142" s="115"/>
      <c r="M142" s="54">
        <f t="shared" si="64"/>
        <v>0</v>
      </c>
      <c r="N142" s="115"/>
      <c r="O142" s="54">
        <f t="shared" si="65"/>
        <v>0</v>
      </c>
      <c r="P142" s="54">
        <f t="shared" si="66"/>
        <v>0</v>
      </c>
    </row>
    <row r="143" spans="2:16" ht="12.5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8"/>
        <v>0</v>
      </c>
      <c r="F143" s="55">
        <f t="shared" si="59"/>
        <v>0</v>
      </c>
      <c r="G143" s="55">
        <f t="shared" si="60"/>
        <v>0</v>
      </c>
      <c r="H143" s="356">
        <f t="shared" si="61"/>
        <v>0</v>
      </c>
      <c r="I143" s="381">
        <f t="shared" si="62"/>
        <v>0</v>
      </c>
      <c r="J143" s="54">
        <f t="shared" si="40"/>
        <v>0</v>
      </c>
      <c r="K143" s="54"/>
      <c r="L143" s="115"/>
      <c r="M143" s="54">
        <f t="shared" si="64"/>
        <v>0</v>
      </c>
      <c r="N143" s="115"/>
      <c r="O143" s="54">
        <f t="shared" si="65"/>
        <v>0</v>
      </c>
      <c r="P143" s="54">
        <f t="shared" si="66"/>
        <v>0</v>
      </c>
    </row>
    <row r="144" spans="2:16" ht="12.5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8"/>
        <v>0</v>
      </c>
      <c r="F144" s="55">
        <f t="shared" si="59"/>
        <v>0</v>
      </c>
      <c r="G144" s="55">
        <f t="shared" si="60"/>
        <v>0</v>
      </c>
      <c r="H144" s="356">
        <f t="shared" si="61"/>
        <v>0</v>
      </c>
      <c r="I144" s="381">
        <f t="shared" si="62"/>
        <v>0</v>
      </c>
      <c r="J144" s="54">
        <f t="shared" si="40"/>
        <v>0</v>
      </c>
      <c r="K144" s="54"/>
      <c r="L144" s="115"/>
      <c r="M144" s="54">
        <f t="shared" si="64"/>
        <v>0</v>
      </c>
      <c r="N144" s="115"/>
      <c r="O144" s="54">
        <f t="shared" si="65"/>
        <v>0</v>
      </c>
      <c r="P144" s="54">
        <f t="shared" si="66"/>
        <v>0</v>
      </c>
    </row>
    <row r="145" spans="2:16" ht="12.5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8"/>
        <v>0</v>
      </c>
      <c r="F145" s="55">
        <f t="shared" si="59"/>
        <v>0</v>
      </c>
      <c r="G145" s="55">
        <f t="shared" si="60"/>
        <v>0</v>
      </c>
      <c r="H145" s="356">
        <f t="shared" si="61"/>
        <v>0</v>
      </c>
      <c r="I145" s="381">
        <f t="shared" si="62"/>
        <v>0</v>
      </c>
      <c r="J145" s="54">
        <f t="shared" si="40"/>
        <v>0</v>
      </c>
      <c r="K145" s="54"/>
      <c r="L145" s="115"/>
      <c r="M145" s="54">
        <f t="shared" si="64"/>
        <v>0</v>
      </c>
      <c r="N145" s="115"/>
      <c r="O145" s="54">
        <f t="shared" si="65"/>
        <v>0</v>
      </c>
      <c r="P145" s="54">
        <f t="shared" si="66"/>
        <v>0</v>
      </c>
    </row>
    <row r="146" spans="2:16" ht="12.5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8"/>
        <v>0</v>
      </c>
      <c r="F146" s="55">
        <f t="shared" si="59"/>
        <v>0</v>
      </c>
      <c r="G146" s="55">
        <f t="shared" si="60"/>
        <v>0</v>
      </c>
      <c r="H146" s="356">
        <f t="shared" si="61"/>
        <v>0</v>
      </c>
      <c r="I146" s="381">
        <f t="shared" si="62"/>
        <v>0</v>
      </c>
      <c r="J146" s="54">
        <f t="shared" si="40"/>
        <v>0</v>
      </c>
      <c r="K146" s="54"/>
      <c r="L146" s="115"/>
      <c r="M146" s="54">
        <f t="shared" si="64"/>
        <v>0</v>
      </c>
      <c r="N146" s="115"/>
      <c r="O146" s="54">
        <f t="shared" si="65"/>
        <v>0</v>
      </c>
      <c r="P146" s="54">
        <f t="shared" si="66"/>
        <v>0</v>
      </c>
    </row>
    <row r="147" spans="2:16" ht="12.5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8"/>
        <v>0</v>
      </c>
      <c r="F147" s="55">
        <f t="shared" si="59"/>
        <v>0</v>
      </c>
      <c r="G147" s="55">
        <f t="shared" si="60"/>
        <v>0</v>
      </c>
      <c r="H147" s="356">
        <f t="shared" si="61"/>
        <v>0</v>
      </c>
      <c r="I147" s="381">
        <f t="shared" si="62"/>
        <v>0</v>
      </c>
      <c r="J147" s="54">
        <f t="shared" si="40"/>
        <v>0</v>
      </c>
      <c r="K147" s="54"/>
      <c r="L147" s="115"/>
      <c r="M147" s="54">
        <f t="shared" si="64"/>
        <v>0</v>
      </c>
      <c r="N147" s="115"/>
      <c r="O147" s="54">
        <f t="shared" si="65"/>
        <v>0</v>
      </c>
      <c r="P147" s="54">
        <f t="shared" si="66"/>
        <v>0</v>
      </c>
    </row>
    <row r="148" spans="2:16" ht="12.5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8"/>
        <v>0</v>
      </c>
      <c r="F148" s="55">
        <f t="shared" si="59"/>
        <v>0</v>
      </c>
      <c r="G148" s="55">
        <f t="shared" si="60"/>
        <v>0</v>
      </c>
      <c r="H148" s="356">
        <f t="shared" si="61"/>
        <v>0</v>
      </c>
      <c r="I148" s="381">
        <f t="shared" si="62"/>
        <v>0</v>
      </c>
      <c r="J148" s="54">
        <f t="shared" si="40"/>
        <v>0</v>
      </c>
      <c r="K148" s="54"/>
      <c r="L148" s="115"/>
      <c r="M148" s="54">
        <f t="shared" si="64"/>
        <v>0</v>
      </c>
      <c r="N148" s="115"/>
      <c r="O148" s="54">
        <f t="shared" si="65"/>
        <v>0</v>
      </c>
      <c r="P148" s="54">
        <f t="shared" si="66"/>
        <v>0</v>
      </c>
    </row>
    <row r="149" spans="2:16" ht="12.5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8"/>
        <v>0</v>
      </c>
      <c r="F149" s="55">
        <f t="shared" si="59"/>
        <v>0</v>
      </c>
      <c r="G149" s="55">
        <f t="shared" si="60"/>
        <v>0</v>
      </c>
      <c r="H149" s="356">
        <f t="shared" si="61"/>
        <v>0</v>
      </c>
      <c r="I149" s="381">
        <f t="shared" si="62"/>
        <v>0</v>
      </c>
      <c r="J149" s="54">
        <f t="shared" si="40"/>
        <v>0</v>
      </c>
      <c r="K149" s="54"/>
      <c r="L149" s="115"/>
      <c r="M149" s="54">
        <f t="shared" si="64"/>
        <v>0</v>
      </c>
      <c r="N149" s="115"/>
      <c r="O149" s="54">
        <f t="shared" si="65"/>
        <v>0</v>
      </c>
      <c r="P149" s="54">
        <f t="shared" si="66"/>
        <v>0</v>
      </c>
    </row>
    <row r="150" spans="2:16" ht="12.5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8"/>
        <v>0</v>
      </c>
      <c r="F150" s="55">
        <f t="shared" si="59"/>
        <v>0</v>
      </c>
      <c r="G150" s="55">
        <f t="shared" si="60"/>
        <v>0</v>
      </c>
      <c r="H150" s="356">
        <f t="shared" si="61"/>
        <v>0</v>
      </c>
      <c r="I150" s="381">
        <f t="shared" si="62"/>
        <v>0</v>
      </c>
      <c r="J150" s="54">
        <f t="shared" si="40"/>
        <v>0</v>
      </c>
      <c r="K150" s="54"/>
      <c r="L150" s="115"/>
      <c r="M150" s="54">
        <f t="shared" si="64"/>
        <v>0</v>
      </c>
      <c r="N150" s="115"/>
      <c r="O150" s="54">
        <f t="shared" si="65"/>
        <v>0</v>
      </c>
      <c r="P150" s="54">
        <f t="shared" si="66"/>
        <v>0</v>
      </c>
    </row>
    <row r="151" spans="2:16" ht="12.5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8"/>
        <v>0</v>
      </c>
      <c r="F151" s="55">
        <f t="shared" si="59"/>
        <v>0</v>
      </c>
      <c r="G151" s="55">
        <f t="shared" si="60"/>
        <v>0</v>
      </c>
      <c r="H151" s="356">
        <f t="shared" si="61"/>
        <v>0</v>
      </c>
      <c r="I151" s="381">
        <f t="shared" si="62"/>
        <v>0</v>
      </c>
      <c r="J151" s="54">
        <f t="shared" si="40"/>
        <v>0</v>
      </c>
      <c r="K151" s="54"/>
      <c r="L151" s="115"/>
      <c r="M151" s="54">
        <f t="shared" si="64"/>
        <v>0</v>
      </c>
      <c r="N151" s="115"/>
      <c r="O151" s="54">
        <f t="shared" si="65"/>
        <v>0</v>
      </c>
      <c r="P151" s="54">
        <f t="shared" si="66"/>
        <v>0</v>
      </c>
    </row>
    <row r="152" spans="2:16" ht="12.5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8"/>
        <v>0</v>
      </c>
      <c r="F152" s="55">
        <f t="shared" si="59"/>
        <v>0</v>
      </c>
      <c r="G152" s="55">
        <f t="shared" si="60"/>
        <v>0</v>
      </c>
      <c r="H152" s="356">
        <f t="shared" si="61"/>
        <v>0</v>
      </c>
      <c r="I152" s="381">
        <f t="shared" si="62"/>
        <v>0</v>
      </c>
      <c r="J152" s="54">
        <f t="shared" si="40"/>
        <v>0</v>
      </c>
      <c r="K152" s="54"/>
      <c r="L152" s="115"/>
      <c r="M152" s="54">
        <f t="shared" si="64"/>
        <v>0</v>
      </c>
      <c r="N152" s="115"/>
      <c r="O152" s="54">
        <f t="shared" si="65"/>
        <v>0</v>
      </c>
      <c r="P152" s="54">
        <f t="shared" si="66"/>
        <v>0</v>
      </c>
    </row>
    <row r="153" spans="2:16" ht="12.5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8"/>
        <v>0</v>
      </c>
      <c r="F153" s="55">
        <f t="shared" si="59"/>
        <v>0</v>
      </c>
      <c r="G153" s="55">
        <f t="shared" si="60"/>
        <v>0</v>
      </c>
      <c r="H153" s="356">
        <f t="shared" si="61"/>
        <v>0</v>
      </c>
      <c r="I153" s="381">
        <f t="shared" si="62"/>
        <v>0</v>
      </c>
      <c r="J153" s="54">
        <f t="shared" si="40"/>
        <v>0</v>
      </c>
      <c r="K153" s="54"/>
      <c r="L153" s="115"/>
      <c r="M153" s="54">
        <f t="shared" si="64"/>
        <v>0</v>
      </c>
      <c r="N153" s="115"/>
      <c r="O153" s="54">
        <f t="shared" si="65"/>
        <v>0</v>
      </c>
      <c r="P153" s="54">
        <f t="shared" si="66"/>
        <v>0</v>
      </c>
    </row>
    <row r="154" spans="2:16" ht="13" thickBot="1">
      <c r="B154" s="7" t="str">
        <f t="shared" si="39"/>
        <v/>
      </c>
      <c r="C154" s="58">
        <f>IF(D93="","-",+C153+1)</f>
        <v>2069</v>
      </c>
      <c r="D154" s="12">
        <f>IF(F153+SUM(E$99:E153)=D$92,F153,D$92-SUM(E$99:E153))</f>
        <v>0</v>
      </c>
      <c r="E154" s="354">
        <f t="shared" si="58"/>
        <v>0</v>
      </c>
      <c r="F154" s="55">
        <f t="shared" si="59"/>
        <v>0</v>
      </c>
      <c r="G154" s="55">
        <f t="shared" si="60"/>
        <v>0</v>
      </c>
      <c r="H154" s="356">
        <f t="shared" si="61"/>
        <v>0</v>
      </c>
      <c r="I154" s="381">
        <f t="shared" si="62"/>
        <v>0</v>
      </c>
      <c r="J154" s="54">
        <f t="shared" si="40"/>
        <v>0</v>
      </c>
      <c r="K154" s="54"/>
      <c r="L154" s="116"/>
      <c r="M154" s="62">
        <f t="shared" si="64"/>
        <v>0</v>
      </c>
      <c r="N154" s="116"/>
      <c r="O154" s="62">
        <f t="shared" si="65"/>
        <v>0</v>
      </c>
      <c r="P154" s="62">
        <f t="shared" si="66"/>
        <v>0</v>
      </c>
    </row>
    <row r="155" spans="2:16" ht="12.5">
      <c r="C155" s="12" t="s">
        <v>77</v>
      </c>
      <c r="D155" s="267"/>
      <c r="E155" s="267">
        <f>SUM(E99:E154)</f>
        <v>2246629</v>
      </c>
      <c r="F155" s="267"/>
      <c r="G155" s="267"/>
      <c r="H155" s="267">
        <f>SUM(H99:H154)</f>
        <v>7850139.6421236563</v>
      </c>
      <c r="I155" s="267">
        <f>SUM(I99:I154)</f>
        <v>7850139.6421236563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V162"/>
  <sheetViews>
    <sheetView topLeftCell="A63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16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558514.89578947367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558514.89578947367</v>
      </c>
      <c r="O6" s="1"/>
      <c r="P6" s="1"/>
    </row>
    <row r="7" spans="1:16" ht="13.5" thickBot="1">
      <c r="C7" s="26" t="s">
        <v>46</v>
      </c>
      <c r="D7" s="88" t="s">
        <v>255</v>
      </c>
      <c r="E7" s="426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254</v>
      </c>
      <c r="E9" s="404" t="s">
        <v>262</v>
      </c>
      <c r="F9" s="32"/>
      <c r="G9" s="452" t="s">
        <v>403</v>
      </c>
      <c r="H9" s="32"/>
      <c r="I9" s="33"/>
      <c r="J9" s="34"/>
      <c r="P9" s="1"/>
    </row>
    <row r="10" spans="1:16" ht="13">
      <c r="C10" s="128" t="s">
        <v>226</v>
      </c>
      <c r="D10" s="336">
        <v>5059278.0399999991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133138.89578947367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2014</v>
      </c>
      <c r="D17" s="411">
        <v>5300000</v>
      </c>
      <c r="E17" s="433">
        <v>0</v>
      </c>
      <c r="F17" s="411">
        <v>5300000</v>
      </c>
      <c r="G17" s="433">
        <v>729591.46876123699</v>
      </c>
      <c r="H17" s="414">
        <v>729591.46876123699</v>
      </c>
      <c r="I17" s="52">
        <v>0</v>
      </c>
      <c r="J17" s="52"/>
      <c r="K17" s="324">
        <f t="shared" ref="K17:K22" si="0">G17</f>
        <v>729591.46876123699</v>
      </c>
      <c r="L17" s="63">
        <f t="shared" ref="L17:L22" si="1">IF(K17&lt;&gt;0,+G17-K17,0)</f>
        <v>0</v>
      </c>
      <c r="M17" s="324">
        <f t="shared" ref="M17:M22" si="2">H17</f>
        <v>729591.46876123699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11">
        <v>5300000</v>
      </c>
      <c r="E18" s="412">
        <v>101923.07692307692</v>
      </c>
      <c r="F18" s="411">
        <v>5198076.923076923</v>
      </c>
      <c r="G18" s="412">
        <v>818590.55430690572</v>
      </c>
      <c r="H18" s="414">
        <v>818590.55430690572</v>
      </c>
      <c r="I18" s="52">
        <v>0</v>
      </c>
      <c r="J18" s="52"/>
      <c r="K18" s="324">
        <f t="shared" si="0"/>
        <v>818590.55430690572</v>
      </c>
      <c r="L18" s="63">
        <f t="shared" si="1"/>
        <v>0</v>
      </c>
      <c r="M18" s="324">
        <f t="shared" si="2"/>
        <v>818590.55430690572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11">
        <v>4969414.923076923</v>
      </c>
      <c r="E19" s="412">
        <v>97525.730769230766</v>
      </c>
      <c r="F19" s="411">
        <v>4871889.192307692</v>
      </c>
      <c r="G19" s="412">
        <v>736520.73076923075</v>
      </c>
      <c r="H19" s="414">
        <v>736520.73076923075</v>
      </c>
      <c r="I19" s="52">
        <f>H19-G19</f>
        <v>0</v>
      </c>
      <c r="J19" s="52"/>
      <c r="K19" s="324">
        <f t="shared" si="0"/>
        <v>736520.73076923075</v>
      </c>
      <c r="L19" s="63">
        <f t="shared" si="1"/>
        <v>0</v>
      </c>
      <c r="M19" s="324">
        <f t="shared" si="2"/>
        <v>736520.73076923075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11">
        <v>4859829.192307692</v>
      </c>
      <c r="E20" s="412">
        <v>109984.30434782608</v>
      </c>
      <c r="F20" s="411">
        <v>4749844.8879598659</v>
      </c>
      <c r="G20" s="412">
        <v>714452.30434782605</v>
      </c>
      <c r="H20" s="414">
        <v>714452.30434782605</v>
      </c>
      <c r="I20" s="52">
        <f t="shared" ref="I20:I72" si="4">H20-G20</f>
        <v>0</v>
      </c>
      <c r="J20" s="52"/>
      <c r="K20" s="324">
        <f t="shared" si="0"/>
        <v>714452.30434782605</v>
      </c>
      <c r="L20" s="63">
        <f t="shared" si="1"/>
        <v>0</v>
      </c>
      <c r="M20" s="324">
        <f t="shared" si="2"/>
        <v>714452.30434782605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11">
        <v>4749844.8879598659</v>
      </c>
      <c r="E21" s="412">
        <v>112428.4</v>
      </c>
      <c r="F21" s="411">
        <v>4637416.4879598655</v>
      </c>
      <c r="G21" s="412">
        <v>674532.63926355843</v>
      </c>
      <c r="H21" s="414">
        <v>674532.63926355843</v>
      </c>
      <c r="I21" s="52">
        <f t="shared" si="4"/>
        <v>0</v>
      </c>
      <c r="J21" s="52"/>
      <c r="K21" s="324">
        <f t="shared" si="0"/>
        <v>674532.63926355843</v>
      </c>
      <c r="L21" s="63">
        <f t="shared" si="1"/>
        <v>0</v>
      </c>
      <c r="M21" s="324">
        <f t="shared" si="2"/>
        <v>674532.63926355843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11">
        <v>4637416.4879598655</v>
      </c>
      <c r="E22" s="412">
        <v>126481.95</v>
      </c>
      <c r="F22" s="411">
        <v>4510934.5379598653</v>
      </c>
      <c r="G22" s="412">
        <v>637218.97874084802</v>
      </c>
      <c r="H22" s="414">
        <v>637218.97874084802</v>
      </c>
      <c r="I22" s="52">
        <f t="shared" si="4"/>
        <v>0</v>
      </c>
      <c r="J22" s="52"/>
      <c r="K22" s="324">
        <f t="shared" si="0"/>
        <v>637218.97874084802</v>
      </c>
      <c r="L22" s="63">
        <f t="shared" si="1"/>
        <v>0</v>
      </c>
      <c r="M22" s="324">
        <f t="shared" si="2"/>
        <v>637218.97874084802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11">
        <v>4524988.0879598651</v>
      </c>
      <c r="E23" s="412">
        <v>120459</v>
      </c>
      <c r="F23" s="411">
        <v>4404529.0879598651</v>
      </c>
      <c r="G23" s="412">
        <v>602674.25524940272</v>
      </c>
      <c r="H23" s="414">
        <v>602674.25524940272</v>
      </c>
      <c r="I23" s="52">
        <f t="shared" si="4"/>
        <v>0</v>
      </c>
      <c r="J23" s="52"/>
      <c r="K23" s="324">
        <f t="shared" ref="K23" si="7">G23</f>
        <v>602674.25524940272</v>
      </c>
      <c r="L23" s="63">
        <f t="shared" ref="L23" si="8">IF(K23&lt;&gt;0,+G23-K23,0)</f>
        <v>0</v>
      </c>
      <c r="M23" s="324">
        <f t="shared" ref="M23" si="9">H23</f>
        <v>602674.25524940272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11">
        <v>4390475.5379598662</v>
      </c>
      <c r="E24" s="412">
        <v>117657.62790697675</v>
      </c>
      <c r="F24" s="411">
        <v>4272817.910052889</v>
      </c>
      <c r="G24" s="412">
        <v>578359.62790697673</v>
      </c>
      <c r="H24" s="414">
        <v>578359.62790697673</v>
      </c>
      <c r="I24" s="52">
        <f t="shared" si="4"/>
        <v>0</v>
      </c>
      <c r="J24" s="52"/>
      <c r="K24" s="324">
        <f t="shared" ref="K24" si="10">G24</f>
        <v>578359.62790697673</v>
      </c>
      <c r="L24" s="63">
        <f t="shared" ref="L24" si="11">IF(K24&lt;&gt;0,+G24-K24,0)</f>
        <v>0</v>
      </c>
      <c r="M24" s="324">
        <f t="shared" ref="M24" si="12">H24</f>
        <v>578359.62790697673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11">
        <v>4272817.910052889</v>
      </c>
      <c r="E25" s="412">
        <v>120459</v>
      </c>
      <c r="F25" s="411">
        <v>4152358.910052889</v>
      </c>
      <c r="G25" s="412">
        <v>568130</v>
      </c>
      <c r="H25" s="414">
        <v>568130</v>
      </c>
      <c r="I25" s="52">
        <f t="shared" si="4"/>
        <v>0</v>
      </c>
      <c r="J25" s="52"/>
      <c r="K25" s="324">
        <f t="shared" ref="K25" si="13">G25</f>
        <v>568130</v>
      </c>
      <c r="L25" s="63">
        <f t="shared" ref="L25" si="14">IF(K25&lt;&gt;0,+G25-K25,0)</f>
        <v>0</v>
      </c>
      <c r="M25" s="324">
        <f t="shared" ref="M25" si="15">H25</f>
        <v>568130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11">
        <v>4152358.9500528886</v>
      </c>
      <c r="E26" s="412">
        <v>129725.07794871792</v>
      </c>
      <c r="F26" s="411">
        <v>4022633.8721041707</v>
      </c>
      <c r="G26" s="412">
        <v>609862.07794871787</v>
      </c>
      <c r="H26" s="414">
        <v>609862.07794871787</v>
      </c>
      <c r="I26" s="52">
        <f t="shared" si="4"/>
        <v>0</v>
      </c>
      <c r="J26" s="52"/>
      <c r="K26" s="324">
        <f t="shared" ref="K26" si="16">G26</f>
        <v>609862.07794871787</v>
      </c>
      <c r="L26" s="63">
        <f t="shared" ref="L26" si="17">IF(K26&lt;&gt;0,+G26-K26,0)</f>
        <v>0</v>
      </c>
      <c r="M26" s="324">
        <f t="shared" ref="M26" si="18">H26</f>
        <v>609862.07794871787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50">
        <f>IF(D11="","-",+C26+1)</f>
        <v>2024</v>
      </c>
      <c r="D27" s="411">
        <v>4022633.8721041707</v>
      </c>
      <c r="E27" s="412">
        <v>133138.89578947367</v>
      </c>
      <c r="F27" s="411">
        <v>3889494.9763146969</v>
      </c>
      <c r="G27" s="412">
        <v>575530.89578947367</v>
      </c>
      <c r="H27" s="414">
        <v>575530.89578947367</v>
      </c>
      <c r="I27" s="52">
        <f t="shared" si="4"/>
        <v>0</v>
      </c>
      <c r="J27" s="52"/>
      <c r="K27" s="324">
        <f t="shared" ref="K27" si="21">G27</f>
        <v>575530.89578947367</v>
      </c>
      <c r="L27" s="63">
        <f t="shared" ref="L27" si="22">IF(K27&lt;&gt;0,+G27-K27,0)</f>
        <v>0</v>
      </c>
      <c r="M27" s="324">
        <f t="shared" ref="M27" si="23">H27</f>
        <v>575530.89578947367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49">
        <f>IF(D11="","-",+C27+1)</f>
        <v>2025</v>
      </c>
      <c r="D28" s="411">
        <v>3889494.9763146969</v>
      </c>
      <c r="E28" s="412">
        <v>133138.89578947367</v>
      </c>
      <c r="F28" s="411">
        <v>3756356.0805252232</v>
      </c>
      <c r="G28" s="412">
        <v>559884.89578947367</v>
      </c>
      <c r="H28" s="414">
        <v>559884.89578947367</v>
      </c>
      <c r="I28" s="52">
        <f t="shared" si="4"/>
        <v>0</v>
      </c>
      <c r="J28" s="52"/>
      <c r="K28" s="324">
        <f t="shared" ref="K28" si="26">G28</f>
        <v>559884.89578947367</v>
      </c>
      <c r="L28" s="63">
        <f t="shared" ref="L28" si="27">IF(K28&lt;&gt;0,+G28-K28,0)</f>
        <v>0</v>
      </c>
      <c r="M28" s="324">
        <f t="shared" ref="M28" si="28">H28</f>
        <v>559884.89578947367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3756356.0805252232</v>
      </c>
      <c r="E29" s="354">
        <f t="shared" ref="E29:E72" si="31">IF(+$I$14&lt;F28,$I$14,D29)</f>
        <v>133138.89578947367</v>
      </c>
      <c r="F29" s="55">
        <f t="shared" ref="F29:F72" si="32">+D29-E29</f>
        <v>3623217.1847357494</v>
      </c>
      <c r="G29" s="355">
        <f t="shared" ref="G29:G72" si="33">ROUND(I$12*F29,0)+E29</f>
        <v>558514.89578947367</v>
      </c>
      <c r="H29" s="337">
        <f t="shared" ref="H29:H72" si="34">ROUND(I$13*F29,0)+E29</f>
        <v>558514.89578947367</v>
      </c>
      <c r="I29" s="52">
        <f t="shared" si="4"/>
        <v>0</v>
      </c>
      <c r="J29" s="52"/>
      <c r="K29" s="115"/>
      <c r="L29" s="54">
        <f t="shared" ref="L29:L72" si="35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3623217.1847357494</v>
      </c>
      <c r="E30" s="354">
        <f t="shared" si="31"/>
        <v>133138.89578947367</v>
      </c>
      <c r="F30" s="55">
        <f t="shared" si="32"/>
        <v>3490078.2889462756</v>
      </c>
      <c r="G30" s="355">
        <f t="shared" si="33"/>
        <v>542883.89578947367</v>
      </c>
      <c r="H30" s="337">
        <f t="shared" si="34"/>
        <v>542883.89578947367</v>
      </c>
      <c r="I30" s="52">
        <f t="shared" si="4"/>
        <v>0</v>
      </c>
      <c r="J30" s="52"/>
      <c r="K30" s="115"/>
      <c r="L30" s="54">
        <f t="shared" si="35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3490078.2889462756</v>
      </c>
      <c r="E31" s="354">
        <f t="shared" si="31"/>
        <v>133138.89578947367</v>
      </c>
      <c r="F31" s="55">
        <f t="shared" si="32"/>
        <v>3356939.3931568018</v>
      </c>
      <c r="G31" s="355">
        <f t="shared" si="33"/>
        <v>527252.89578947367</v>
      </c>
      <c r="H31" s="337">
        <f t="shared" si="34"/>
        <v>527252.89578947367</v>
      </c>
      <c r="I31" s="52">
        <f t="shared" si="4"/>
        <v>0</v>
      </c>
      <c r="J31" s="52"/>
      <c r="K31" s="115"/>
      <c r="L31" s="54">
        <f t="shared" si="35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3356939.3931568018</v>
      </c>
      <c r="E32" s="354">
        <f t="shared" si="31"/>
        <v>133138.89578947367</v>
      </c>
      <c r="F32" s="55">
        <f t="shared" si="32"/>
        <v>3223800.497367328</v>
      </c>
      <c r="G32" s="355">
        <f t="shared" si="33"/>
        <v>511621.89578947367</v>
      </c>
      <c r="H32" s="337">
        <f t="shared" si="34"/>
        <v>511621.89578947367</v>
      </c>
      <c r="I32" s="52">
        <f t="shared" si="4"/>
        <v>0</v>
      </c>
      <c r="J32" s="52"/>
      <c r="K32" s="115"/>
      <c r="L32" s="54">
        <f t="shared" si="35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3223800.497367328</v>
      </c>
      <c r="E33" s="354">
        <f t="shared" si="31"/>
        <v>133138.89578947367</v>
      </c>
      <c r="F33" s="55">
        <f t="shared" si="32"/>
        <v>3090661.6015778542</v>
      </c>
      <c r="G33" s="355">
        <f t="shared" si="33"/>
        <v>495990.89578947367</v>
      </c>
      <c r="H33" s="337">
        <f t="shared" si="34"/>
        <v>495990.89578947367</v>
      </c>
      <c r="I33" s="52">
        <f t="shared" si="4"/>
        <v>0</v>
      </c>
      <c r="J33" s="52"/>
      <c r="K33" s="115"/>
      <c r="L33" s="54">
        <f t="shared" si="35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3090661.6015778542</v>
      </c>
      <c r="E34" s="354">
        <f t="shared" si="31"/>
        <v>133138.89578947367</v>
      </c>
      <c r="F34" s="55">
        <f t="shared" si="32"/>
        <v>2957522.7057883805</v>
      </c>
      <c r="G34" s="355">
        <f t="shared" si="33"/>
        <v>480359.89578947367</v>
      </c>
      <c r="H34" s="337">
        <f t="shared" si="34"/>
        <v>480359.89578947367</v>
      </c>
      <c r="I34" s="52">
        <f t="shared" si="4"/>
        <v>0</v>
      </c>
      <c r="J34" s="52"/>
      <c r="K34" s="115"/>
      <c r="L34" s="54">
        <f t="shared" si="35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2957522.7057883805</v>
      </c>
      <c r="E35" s="354">
        <f t="shared" si="31"/>
        <v>133138.89578947367</v>
      </c>
      <c r="F35" s="55">
        <f t="shared" si="32"/>
        <v>2824383.8099989067</v>
      </c>
      <c r="G35" s="355">
        <f t="shared" si="33"/>
        <v>464728.89578947367</v>
      </c>
      <c r="H35" s="337">
        <f t="shared" si="34"/>
        <v>464728.89578947367</v>
      </c>
      <c r="I35" s="52">
        <f t="shared" si="4"/>
        <v>0</v>
      </c>
      <c r="J35" s="52"/>
      <c r="K35" s="115"/>
      <c r="L35" s="54">
        <f t="shared" si="35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2824383.8099989067</v>
      </c>
      <c r="E36" s="354">
        <f t="shared" si="31"/>
        <v>133138.89578947367</v>
      </c>
      <c r="F36" s="55">
        <f t="shared" si="32"/>
        <v>2691244.9142094329</v>
      </c>
      <c r="G36" s="355">
        <f t="shared" si="33"/>
        <v>449097.89578947367</v>
      </c>
      <c r="H36" s="337">
        <f t="shared" si="34"/>
        <v>449097.89578947367</v>
      </c>
      <c r="I36" s="52">
        <f t="shared" si="4"/>
        <v>0</v>
      </c>
      <c r="J36" s="52"/>
      <c r="K36" s="115"/>
      <c r="L36" s="54">
        <f t="shared" si="35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2691244.9142094329</v>
      </c>
      <c r="E37" s="354">
        <f t="shared" si="31"/>
        <v>133138.89578947367</v>
      </c>
      <c r="F37" s="55">
        <f t="shared" si="32"/>
        <v>2558106.0184199591</v>
      </c>
      <c r="G37" s="355">
        <f t="shared" si="33"/>
        <v>433467.89578947367</v>
      </c>
      <c r="H37" s="337">
        <f t="shared" si="34"/>
        <v>433467.89578947367</v>
      </c>
      <c r="I37" s="52">
        <f t="shared" si="4"/>
        <v>0</v>
      </c>
      <c r="J37" s="52"/>
      <c r="K37" s="115"/>
      <c r="L37" s="54">
        <f t="shared" si="35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2558106.0184199591</v>
      </c>
      <c r="E38" s="354">
        <f t="shared" si="31"/>
        <v>133138.89578947367</v>
      </c>
      <c r="F38" s="55">
        <f t="shared" si="32"/>
        <v>2424967.1226304853</v>
      </c>
      <c r="G38" s="355">
        <f t="shared" si="33"/>
        <v>417836.89578947367</v>
      </c>
      <c r="H38" s="337">
        <f t="shared" si="34"/>
        <v>417836.89578947367</v>
      </c>
      <c r="I38" s="52">
        <f t="shared" si="4"/>
        <v>0</v>
      </c>
      <c r="J38" s="52"/>
      <c r="K38" s="115"/>
      <c r="L38" s="54">
        <f t="shared" si="35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2424967.1226304853</v>
      </c>
      <c r="E39" s="354">
        <f t="shared" si="31"/>
        <v>133138.89578947367</v>
      </c>
      <c r="F39" s="55">
        <f t="shared" si="32"/>
        <v>2291828.2268410116</v>
      </c>
      <c r="G39" s="355">
        <f t="shared" si="33"/>
        <v>402205.89578947367</v>
      </c>
      <c r="H39" s="337">
        <f t="shared" si="34"/>
        <v>402205.89578947367</v>
      </c>
      <c r="I39" s="52">
        <f t="shared" si="4"/>
        <v>0</v>
      </c>
      <c r="J39" s="52"/>
      <c r="K39" s="115"/>
      <c r="L39" s="54">
        <f t="shared" si="35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2291828.2268410116</v>
      </c>
      <c r="E40" s="354">
        <f t="shared" si="31"/>
        <v>133138.89578947367</v>
      </c>
      <c r="F40" s="55">
        <f t="shared" si="32"/>
        <v>2158689.3310515378</v>
      </c>
      <c r="G40" s="355">
        <f t="shared" si="33"/>
        <v>386574.89578947367</v>
      </c>
      <c r="H40" s="337">
        <f t="shared" si="34"/>
        <v>386574.89578947367</v>
      </c>
      <c r="I40" s="52">
        <f t="shared" si="4"/>
        <v>0</v>
      </c>
      <c r="J40" s="52"/>
      <c r="K40" s="115"/>
      <c r="L40" s="54">
        <f t="shared" si="35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2158689.3310515378</v>
      </c>
      <c r="E41" s="354">
        <f t="shared" si="31"/>
        <v>133138.89578947367</v>
      </c>
      <c r="F41" s="55">
        <f t="shared" si="32"/>
        <v>2025550.435262064</v>
      </c>
      <c r="G41" s="355">
        <f t="shared" si="33"/>
        <v>370943.89578947367</v>
      </c>
      <c r="H41" s="337">
        <f t="shared" si="34"/>
        <v>370943.89578947367</v>
      </c>
      <c r="I41" s="52">
        <f t="shared" si="4"/>
        <v>0</v>
      </c>
      <c r="J41" s="52"/>
      <c r="K41" s="115"/>
      <c r="L41" s="54">
        <f t="shared" si="35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2025550.435262064</v>
      </c>
      <c r="E42" s="354">
        <f t="shared" si="31"/>
        <v>133138.89578947367</v>
      </c>
      <c r="F42" s="55">
        <f t="shared" si="32"/>
        <v>1892411.5394725902</v>
      </c>
      <c r="G42" s="355">
        <f t="shared" si="33"/>
        <v>355312.89578947367</v>
      </c>
      <c r="H42" s="337">
        <f t="shared" si="34"/>
        <v>355312.89578947367</v>
      </c>
      <c r="I42" s="52">
        <f t="shared" si="4"/>
        <v>0</v>
      </c>
      <c r="J42" s="52"/>
      <c r="K42" s="115"/>
      <c r="L42" s="54">
        <f t="shared" si="35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1892411.5394725902</v>
      </c>
      <c r="E43" s="354">
        <f t="shared" si="31"/>
        <v>133138.89578947367</v>
      </c>
      <c r="F43" s="55">
        <f t="shared" si="32"/>
        <v>1759272.6436831164</v>
      </c>
      <c r="G43" s="355">
        <f t="shared" si="33"/>
        <v>339681.89578947367</v>
      </c>
      <c r="H43" s="337">
        <f t="shared" si="34"/>
        <v>339681.89578947367</v>
      </c>
      <c r="I43" s="52">
        <f t="shared" si="4"/>
        <v>0</v>
      </c>
      <c r="J43" s="52"/>
      <c r="K43" s="115"/>
      <c r="L43" s="54">
        <f t="shared" si="35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1759272.6436831164</v>
      </c>
      <c r="E44" s="354">
        <f t="shared" si="31"/>
        <v>133138.89578947367</v>
      </c>
      <c r="F44" s="55">
        <f t="shared" si="32"/>
        <v>1626133.7478936426</v>
      </c>
      <c r="G44" s="355">
        <f t="shared" si="33"/>
        <v>324051.89578947367</v>
      </c>
      <c r="H44" s="337">
        <f t="shared" si="34"/>
        <v>324051.89578947367</v>
      </c>
      <c r="I44" s="52">
        <f t="shared" si="4"/>
        <v>0</v>
      </c>
      <c r="J44" s="52"/>
      <c r="K44" s="115"/>
      <c r="L44" s="54">
        <f t="shared" si="35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1626133.7478936426</v>
      </c>
      <c r="E45" s="354">
        <f t="shared" si="31"/>
        <v>133138.89578947367</v>
      </c>
      <c r="F45" s="55">
        <f t="shared" si="32"/>
        <v>1492994.8521041689</v>
      </c>
      <c r="G45" s="355">
        <f t="shared" si="33"/>
        <v>308420.89578947367</v>
      </c>
      <c r="H45" s="337">
        <f t="shared" si="34"/>
        <v>308420.89578947367</v>
      </c>
      <c r="I45" s="52">
        <f t="shared" si="4"/>
        <v>0</v>
      </c>
      <c r="J45" s="52"/>
      <c r="K45" s="115"/>
      <c r="L45" s="54">
        <f t="shared" si="35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1492994.8521041689</v>
      </c>
      <c r="E46" s="354">
        <f t="shared" si="31"/>
        <v>133138.89578947367</v>
      </c>
      <c r="F46" s="55">
        <f t="shared" si="32"/>
        <v>1359855.9563146951</v>
      </c>
      <c r="G46" s="355">
        <f t="shared" si="33"/>
        <v>292789.89578947367</v>
      </c>
      <c r="H46" s="337">
        <f t="shared" si="34"/>
        <v>292789.89578947367</v>
      </c>
      <c r="I46" s="52">
        <f t="shared" si="4"/>
        <v>0</v>
      </c>
      <c r="J46" s="52"/>
      <c r="K46" s="115"/>
      <c r="L46" s="54">
        <f t="shared" si="35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1359855.9563146951</v>
      </c>
      <c r="E47" s="354">
        <f t="shared" si="31"/>
        <v>133138.89578947367</v>
      </c>
      <c r="F47" s="55">
        <f t="shared" si="32"/>
        <v>1226717.0605252213</v>
      </c>
      <c r="G47" s="355">
        <f t="shared" si="33"/>
        <v>277158.89578947367</v>
      </c>
      <c r="H47" s="337">
        <f t="shared" si="34"/>
        <v>277158.89578947367</v>
      </c>
      <c r="I47" s="52">
        <f t="shared" si="4"/>
        <v>0</v>
      </c>
      <c r="J47" s="52"/>
      <c r="K47" s="115"/>
      <c r="L47" s="54">
        <f t="shared" si="35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1226717.0605252213</v>
      </c>
      <c r="E48" s="354">
        <f t="shared" si="31"/>
        <v>133138.89578947367</v>
      </c>
      <c r="F48" s="55">
        <f t="shared" si="32"/>
        <v>1093578.1647357475</v>
      </c>
      <c r="G48" s="355">
        <f t="shared" si="33"/>
        <v>261527.89578947367</v>
      </c>
      <c r="H48" s="337">
        <f t="shared" si="34"/>
        <v>261527.89578947367</v>
      </c>
      <c r="I48" s="52">
        <f t="shared" si="4"/>
        <v>0</v>
      </c>
      <c r="J48" s="52"/>
      <c r="K48" s="115"/>
      <c r="L48" s="54">
        <f t="shared" si="35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22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1093578.1647357475</v>
      </c>
      <c r="E49" s="354">
        <f t="shared" si="31"/>
        <v>133138.89578947367</v>
      </c>
      <c r="F49" s="55">
        <f t="shared" si="32"/>
        <v>960439.26894627383</v>
      </c>
      <c r="G49" s="355">
        <f t="shared" si="33"/>
        <v>245896.89578947367</v>
      </c>
      <c r="H49" s="337">
        <f t="shared" si="34"/>
        <v>245896.89578947367</v>
      </c>
      <c r="I49" s="52">
        <f t="shared" si="4"/>
        <v>0</v>
      </c>
      <c r="J49" s="52"/>
      <c r="K49" s="115"/>
      <c r="L49" s="54">
        <f t="shared" si="35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22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960439.26894627383</v>
      </c>
      <c r="E50" s="354">
        <f t="shared" si="31"/>
        <v>133138.89578947367</v>
      </c>
      <c r="F50" s="55">
        <f t="shared" si="32"/>
        <v>827300.37315680017</v>
      </c>
      <c r="G50" s="355">
        <f t="shared" si="33"/>
        <v>230265.89578947367</v>
      </c>
      <c r="H50" s="337">
        <f t="shared" si="34"/>
        <v>230265.89578947367</v>
      </c>
      <c r="I50" s="52">
        <f t="shared" si="4"/>
        <v>0</v>
      </c>
      <c r="J50" s="52"/>
      <c r="K50" s="115"/>
      <c r="L50" s="54">
        <f t="shared" si="35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22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827300.37315680017</v>
      </c>
      <c r="E51" s="354">
        <f t="shared" si="31"/>
        <v>133138.89578947367</v>
      </c>
      <c r="F51" s="55">
        <f t="shared" si="32"/>
        <v>694161.4773673265</v>
      </c>
      <c r="G51" s="355">
        <f t="shared" si="33"/>
        <v>214634.89578947367</v>
      </c>
      <c r="H51" s="337">
        <f t="shared" si="34"/>
        <v>214634.89578947367</v>
      </c>
      <c r="I51" s="52">
        <f t="shared" si="4"/>
        <v>0</v>
      </c>
      <c r="J51" s="52"/>
      <c r="K51" s="115"/>
      <c r="L51" s="54">
        <f t="shared" si="35"/>
        <v>0</v>
      </c>
      <c r="M51" s="115"/>
      <c r="N51" s="54">
        <f t="shared" si="5"/>
        <v>0</v>
      </c>
      <c r="O51" s="54">
        <f t="shared" si="6"/>
        <v>0</v>
      </c>
      <c r="P51" s="1"/>
      <c r="V51" t="s">
        <v>455</v>
      </c>
    </row>
    <row r="52" spans="2:22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694161.4773673265</v>
      </c>
      <c r="E52" s="354">
        <f t="shared" si="31"/>
        <v>133138.89578947367</v>
      </c>
      <c r="F52" s="55">
        <f t="shared" si="32"/>
        <v>561022.58157785283</v>
      </c>
      <c r="G52" s="355">
        <f t="shared" si="33"/>
        <v>199004.89578947367</v>
      </c>
      <c r="H52" s="337">
        <f t="shared" si="34"/>
        <v>199004.89578947367</v>
      </c>
      <c r="I52" s="52">
        <f t="shared" si="4"/>
        <v>0</v>
      </c>
      <c r="J52" s="52"/>
      <c r="K52" s="115"/>
      <c r="L52" s="54">
        <f t="shared" si="35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22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561022.58157785283</v>
      </c>
      <c r="E53" s="354">
        <f t="shared" si="31"/>
        <v>133138.89578947367</v>
      </c>
      <c r="F53" s="55">
        <f t="shared" si="32"/>
        <v>427883.68578837917</v>
      </c>
      <c r="G53" s="355">
        <f t="shared" si="33"/>
        <v>183373.89578947367</v>
      </c>
      <c r="H53" s="337">
        <f t="shared" si="34"/>
        <v>183373.89578947367</v>
      </c>
      <c r="I53" s="52">
        <f t="shared" si="4"/>
        <v>0</v>
      </c>
      <c r="J53" s="52"/>
      <c r="K53" s="115"/>
      <c r="L53" s="54">
        <f t="shared" si="35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22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427883.68578837917</v>
      </c>
      <c r="E54" s="354">
        <f t="shared" si="31"/>
        <v>133138.89578947367</v>
      </c>
      <c r="F54" s="55">
        <f t="shared" si="32"/>
        <v>294744.7899989055</v>
      </c>
      <c r="G54" s="355">
        <f t="shared" si="33"/>
        <v>167742.89578947367</v>
      </c>
      <c r="H54" s="337">
        <f t="shared" si="34"/>
        <v>167742.89578947367</v>
      </c>
      <c r="I54" s="52">
        <f t="shared" si="4"/>
        <v>0</v>
      </c>
      <c r="J54" s="52"/>
      <c r="K54" s="115"/>
      <c r="L54" s="54">
        <f t="shared" si="35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22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294744.7899989055</v>
      </c>
      <c r="E55" s="354">
        <f t="shared" si="31"/>
        <v>133138.89578947367</v>
      </c>
      <c r="F55" s="55">
        <f t="shared" si="32"/>
        <v>161605.89420943183</v>
      </c>
      <c r="G55" s="355">
        <f t="shared" si="33"/>
        <v>152111.89578947367</v>
      </c>
      <c r="H55" s="337">
        <f t="shared" si="34"/>
        <v>152111.89578947367</v>
      </c>
      <c r="I55" s="52">
        <f t="shared" si="4"/>
        <v>0</v>
      </c>
      <c r="J55" s="52"/>
      <c r="K55" s="115"/>
      <c r="L55" s="54">
        <f t="shared" si="35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22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161605.89420943183</v>
      </c>
      <c r="E56" s="354">
        <f t="shared" si="31"/>
        <v>133138.89578947367</v>
      </c>
      <c r="F56" s="55">
        <f t="shared" si="32"/>
        <v>28466.998419958167</v>
      </c>
      <c r="G56" s="355">
        <f t="shared" si="33"/>
        <v>136480.89578947367</v>
      </c>
      <c r="H56" s="337">
        <f t="shared" si="34"/>
        <v>136480.89578947367</v>
      </c>
      <c r="I56" s="52">
        <f t="shared" si="4"/>
        <v>0</v>
      </c>
      <c r="J56" s="52"/>
      <c r="K56" s="115"/>
      <c r="L56" s="54">
        <f t="shared" si="35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22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28466.998419958167</v>
      </c>
      <c r="E57" s="354">
        <f t="shared" si="31"/>
        <v>28466.998419958167</v>
      </c>
      <c r="F57" s="55">
        <f t="shared" si="32"/>
        <v>0</v>
      </c>
      <c r="G57" s="355">
        <f t="shared" si="33"/>
        <v>28466.998419958167</v>
      </c>
      <c r="H57" s="337">
        <f t="shared" si="34"/>
        <v>28466.998419958167</v>
      </c>
      <c r="I57" s="52">
        <f t="shared" si="4"/>
        <v>0</v>
      </c>
      <c r="J57" s="52"/>
      <c r="K57" s="115"/>
      <c r="L57" s="54">
        <f t="shared" si="35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22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31"/>
        <v>0</v>
      </c>
      <c r="F58" s="55">
        <f t="shared" si="32"/>
        <v>0</v>
      </c>
      <c r="G58" s="355">
        <f t="shared" si="33"/>
        <v>0</v>
      </c>
      <c r="H58" s="337">
        <f t="shared" si="34"/>
        <v>0</v>
      </c>
      <c r="I58" s="52">
        <f t="shared" si="4"/>
        <v>0</v>
      </c>
      <c r="J58" s="52"/>
      <c r="K58" s="115"/>
      <c r="L58" s="54">
        <f t="shared" si="35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22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31"/>
        <v>0</v>
      </c>
      <c r="F59" s="55">
        <f t="shared" si="32"/>
        <v>0</v>
      </c>
      <c r="G59" s="355">
        <f t="shared" si="33"/>
        <v>0</v>
      </c>
      <c r="H59" s="337">
        <f t="shared" si="34"/>
        <v>0</v>
      </c>
      <c r="I59" s="52">
        <f t="shared" si="4"/>
        <v>0</v>
      </c>
      <c r="J59" s="52"/>
      <c r="K59" s="115"/>
      <c r="L59" s="54">
        <f t="shared" si="35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22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31"/>
        <v>0</v>
      </c>
      <c r="F60" s="55">
        <f t="shared" si="32"/>
        <v>0</v>
      </c>
      <c r="G60" s="355">
        <f t="shared" si="33"/>
        <v>0</v>
      </c>
      <c r="H60" s="337">
        <f t="shared" si="34"/>
        <v>0</v>
      </c>
      <c r="I60" s="52">
        <f t="shared" si="4"/>
        <v>0</v>
      </c>
      <c r="J60" s="52"/>
      <c r="K60" s="115"/>
      <c r="L60" s="54">
        <f t="shared" si="35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22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31"/>
        <v>0</v>
      </c>
      <c r="F61" s="55">
        <f t="shared" si="32"/>
        <v>0</v>
      </c>
      <c r="G61" s="355">
        <f t="shared" si="33"/>
        <v>0</v>
      </c>
      <c r="H61" s="337">
        <f t="shared" si="34"/>
        <v>0</v>
      </c>
      <c r="I61" s="52">
        <f t="shared" si="4"/>
        <v>0</v>
      </c>
      <c r="J61" s="52"/>
      <c r="K61" s="115"/>
      <c r="L61" s="54">
        <f t="shared" si="35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22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31"/>
        <v>0</v>
      </c>
      <c r="F62" s="55">
        <f t="shared" si="32"/>
        <v>0</v>
      </c>
      <c r="G62" s="355">
        <f t="shared" si="33"/>
        <v>0</v>
      </c>
      <c r="H62" s="337">
        <f t="shared" si="34"/>
        <v>0</v>
      </c>
      <c r="I62" s="52">
        <f t="shared" si="4"/>
        <v>0</v>
      </c>
      <c r="J62" s="52"/>
      <c r="K62" s="115"/>
      <c r="L62" s="54">
        <f t="shared" si="35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22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31"/>
        <v>0</v>
      </c>
      <c r="F63" s="55">
        <f t="shared" si="32"/>
        <v>0</v>
      </c>
      <c r="G63" s="355">
        <f t="shared" si="33"/>
        <v>0</v>
      </c>
      <c r="H63" s="337">
        <f t="shared" si="34"/>
        <v>0</v>
      </c>
      <c r="I63" s="52">
        <f t="shared" si="4"/>
        <v>0</v>
      </c>
      <c r="J63" s="52"/>
      <c r="K63" s="115"/>
      <c r="L63" s="54">
        <f t="shared" si="35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22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31"/>
        <v>0</v>
      </c>
      <c r="F64" s="55">
        <f t="shared" si="32"/>
        <v>0</v>
      </c>
      <c r="G64" s="355">
        <f t="shared" si="33"/>
        <v>0</v>
      </c>
      <c r="H64" s="337">
        <f t="shared" si="34"/>
        <v>0</v>
      </c>
      <c r="I64" s="52">
        <f t="shared" si="4"/>
        <v>0</v>
      </c>
      <c r="J64" s="52"/>
      <c r="K64" s="115"/>
      <c r="L64" s="54">
        <f t="shared" si="35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31"/>
        <v>0</v>
      </c>
      <c r="F65" s="55">
        <f t="shared" si="32"/>
        <v>0</v>
      </c>
      <c r="G65" s="355">
        <f t="shared" si="33"/>
        <v>0</v>
      </c>
      <c r="H65" s="337">
        <f t="shared" si="34"/>
        <v>0</v>
      </c>
      <c r="I65" s="52">
        <f t="shared" si="4"/>
        <v>0</v>
      </c>
      <c r="J65" s="52"/>
      <c r="K65" s="115"/>
      <c r="L65" s="54">
        <f t="shared" si="35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31"/>
        <v>0</v>
      </c>
      <c r="F66" s="55">
        <f t="shared" si="32"/>
        <v>0</v>
      </c>
      <c r="G66" s="355">
        <f t="shared" si="33"/>
        <v>0</v>
      </c>
      <c r="H66" s="337">
        <f t="shared" si="34"/>
        <v>0</v>
      </c>
      <c r="I66" s="52">
        <f t="shared" si="4"/>
        <v>0</v>
      </c>
      <c r="J66" s="52"/>
      <c r="K66" s="115"/>
      <c r="L66" s="54">
        <f t="shared" si="35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31"/>
        <v>0</v>
      </c>
      <c r="F67" s="55">
        <f t="shared" si="32"/>
        <v>0</v>
      </c>
      <c r="G67" s="355">
        <f t="shared" si="33"/>
        <v>0</v>
      </c>
      <c r="H67" s="337">
        <f t="shared" si="34"/>
        <v>0</v>
      </c>
      <c r="I67" s="52">
        <f t="shared" si="4"/>
        <v>0</v>
      </c>
      <c r="J67" s="52"/>
      <c r="K67" s="115"/>
      <c r="L67" s="54">
        <f t="shared" si="35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31"/>
        <v>0</v>
      </c>
      <c r="F68" s="55">
        <f t="shared" si="32"/>
        <v>0</v>
      </c>
      <c r="G68" s="355">
        <f t="shared" si="33"/>
        <v>0</v>
      </c>
      <c r="H68" s="337">
        <f t="shared" si="34"/>
        <v>0</v>
      </c>
      <c r="I68" s="52">
        <f t="shared" si="4"/>
        <v>0</v>
      </c>
      <c r="J68" s="52"/>
      <c r="K68" s="115"/>
      <c r="L68" s="54">
        <f t="shared" si="35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31"/>
        <v>0</v>
      </c>
      <c r="F69" s="55">
        <f t="shared" si="32"/>
        <v>0</v>
      </c>
      <c r="G69" s="355">
        <f t="shared" si="33"/>
        <v>0</v>
      </c>
      <c r="H69" s="337">
        <f t="shared" si="34"/>
        <v>0</v>
      </c>
      <c r="I69" s="52">
        <f t="shared" si="4"/>
        <v>0</v>
      </c>
      <c r="J69" s="52"/>
      <c r="K69" s="115"/>
      <c r="L69" s="54">
        <f t="shared" si="35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31"/>
        <v>0</v>
      </c>
      <c r="F70" s="55">
        <f t="shared" si="32"/>
        <v>0</v>
      </c>
      <c r="G70" s="355">
        <f t="shared" si="33"/>
        <v>0</v>
      </c>
      <c r="H70" s="337">
        <f t="shared" si="34"/>
        <v>0</v>
      </c>
      <c r="I70" s="52">
        <f t="shared" si="4"/>
        <v>0</v>
      </c>
      <c r="J70" s="52"/>
      <c r="K70" s="115"/>
      <c r="L70" s="54">
        <f t="shared" si="35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31"/>
        <v>0</v>
      </c>
      <c r="F71" s="55">
        <f t="shared" si="32"/>
        <v>0</v>
      </c>
      <c r="G71" s="355">
        <f t="shared" si="33"/>
        <v>0</v>
      </c>
      <c r="H71" s="337">
        <f t="shared" si="34"/>
        <v>0</v>
      </c>
      <c r="I71" s="52">
        <f t="shared" si="4"/>
        <v>0</v>
      </c>
      <c r="J71" s="52"/>
      <c r="K71" s="115"/>
      <c r="L71" s="54">
        <f t="shared" si="35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5">
        <f>IF(F71+SUM(E$17:E71)=D$10,F71,D$10-SUM(E$17:E71))</f>
        <v>0</v>
      </c>
      <c r="E72" s="354">
        <f t="shared" si="31"/>
        <v>0</v>
      </c>
      <c r="F72" s="55">
        <f t="shared" si="32"/>
        <v>0</v>
      </c>
      <c r="G72" s="355">
        <f t="shared" si="33"/>
        <v>0</v>
      </c>
      <c r="H72" s="337">
        <f t="shared" si="34"/>
        <v>0</v>
      </c>
      <c r="I72" s="52">
        <f t="shared" si="4"/>
        <v>0</v>
      </c>
      <c r="J72" s="52"/>
      <c r="K72" s="116"/>
      <c r="L72" s="62">
        <f t="shared" si="35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7"/>
      <c r="E73" s="267">
        <f>SUM(E17:E72)</f>
        <v>5059278.0399999972</v>
      </c>
      <c r="F73" s="267"/>
      <c r="G73" s="267">
        <f>SUM(G17:G72)</f>
        <v>17563752.509398885</v>
      </c>
      <c r="H73" s="267">
        <f>SUM(H17:H72)</f>
        <v>17563752.509398885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16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575530.89578947367</v>
      </c>
      <c r="N87" s="364">
        <f>IF(J92&lt;D11,0,VLOOKUP(J92,C17:O72,11))</f>
        <v>575530.89578947367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661043.83836890443</v>
      </c>
      <c r="N88" s="367">
        <f>IF(J92&lt;D11,0,VLOOKUP(J92,C99:P154,7))</f>
        <v>661043.83836890443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Cornville Station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85512.942579430761</v>
      </c>
      <c r="N89" s="369">
        <f>+N88-N87</f>
        <v>85512.942579430761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TP2011093</v>
      </c>
      <c r="E91" s="74" t="str">
        <f>E9</f>
        <v xml:space="preserve">  SPP Project ID = 30346</v>
      </c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5059278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136737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2014</v>
      </c>
      <c r="D99" s="411">
        <v>0</v>
      </c>
      <c r="E99" s="412">
        <v>0</v>
      </c>
      <c r="F99" s="413">
        <v>4992922.66</v>
      </c>
      <c r="G99" s="430">
        <v>2496461.33</v>
      </c>
      <c r="H99" s="431">
        <v>350992.25806989282</v>
      </c>
      <c r="I99" s="432">
        <v>350992.25806989282</v>
      </c>
      <c r="J99" s="54">
        <v>0</v>
      </c>
      <c r="K99" s="54"/>
      <c r="L99" s="324">
        <f t="shared" ref="L99:L105" si="36">H99</f>
        <v>350992.25806989282</v>
      </c>
      <c r="M99" s="63">
        <f t="shared" ref="M99:M105" si="37">IF(L99&lt;&gt;0,+H99-L99,0)</f>
        <v>0</v>
      </c>
      <c r="N99" s="324">
        <f t="shared" ref="N99:N105" si="38">I99</f>
        <v>350992.25806989282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11">
        <v>5071338</v>
      </c>
      <c r="E100" s="412">
        <v>97526</v>
      </c>
      <c r="F100" s="413">
        <v>4973812</v>
      </c>
      <c r="G100" s="413">
        <v>5022575</v>
      </c>
      <c r="H100" s="431">
        <v>782815.97525692882</v>
      </c>
      <c r="I100" s="432">
        <v>782815.97525692882</v>
      </c>
      <c r="J100" s="54">
        <f>+I100-H100</f>
        <v>0</v>
      </c>
      <c r="K100" s="54"/>
      <c r="L100" s="324">
        <f t="shared" si="36"/>
        <v>782815.97525692882</v>
      </c>
      <c r="M100" s="63">
        <f t="shared" si="37"/>
        <v>0</v>
      </c>
      <c r="N100" s="324">
        <f t="shared" si="38"/>
        <v>782815.97525692882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9">IF(D101=F100,"","IU")</f>
        <v>IU</v>
      </c>
      <c r="C101" s="50">
        <f>IF(D93="","-",+C100+1)</f>
        <v>2016</v>
      </c>
      <c r="D101" s="411">
        <v>4961752</v>
      </c>
      <c r="E101" s="412">
        <v>109984</v>
      </c>
      <c r="F101" s="413">
        <v>4851768</v>
      </c>
      <c r="G101" s="413">
        <v>4906760</v>
      </c>
      <c r="H101" s="431">
        <v>742542.63994670648</v>
      </c>
      <c r="I101" s="432">
        <v>742542.63994670648</v>
      </c>
      <c r="J101" s="54">
        <f t="shared" ref="J101:J154" si="40">+I101-H101</f>
        <v>0</v>
      </c>
      <c r="K101" s="54"/>
      <c r="L101" s="324">
        <f t="shared" si="36"/>
        <v>742542.63994670648</v>
      </c>
      <c r="M101" s="63">
        <f t="shared" si="37"/>
        <v>0</v>
      </c>
      <c r="N101" s="324">
        <f t="shared" si="38"/>
        <v>742542.63994670648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9"/>
        <v/>
      </c>
      <c r="C102" s="50">
        <f>IF(D93="","-",+C101+1)</f>
        <v>2017</v>
      </c>
      <c r="D102" s="411">
        <v>4851768</v>
      </c>
      <c r="E102" s="412">
        <v>109984</v>
      </c>
      <c r="F102" s="413">
        <v>4741784</v>
      </c>
      <c r="G102" s="413">
        <v>4796776</v>
      </c>
      <c r="H102" s="431">
        <v>718467.13067498105</v>
      </c>
      <c r="I102" s="432">
        <v>718467.13067498105</v>
      </c>
      <c r="J102" s="54">
        <f t="shared" si="40"/>
        <v>0</v>
      </c>
      <c r="K102" s="54"/>
      <c r="L102" s="324">
        <f t="shared" si="36"/>
        <v>718467.13067498105</v>
      </c>
      <c r="M102" s="63">
        <f t="shared" si="37"/>
        <v>0</v>
      </c>
      <c r="N102" s="324">
        <f t="shared" si="38"/>
        <v>718467.13067498105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9"/>
        <v/>
      </c>
      <c r="C103" s="50">
        <f>IF(D93="","-",+C102+1)</f>
        <v>2018</v>
      </c>
      <c r="D103" s="411">
        <v>4741784</v>
      </c>
      <c r="E103" s="412">
        <v>117658</v>
      </c>
      <c r="F103" s="413">
        <v>4624126</v>
      </c>
      <c r="G103" s="413">
        <v>4682955</v>
      </c>
      <c r="H103" s="431">
        <v>598764.03634994966</v>
      </c>
      <c r="I103" s="432">
        <v>598764.03634994966</v>
      </c>
      <c r="J103" s="54">
        <f t="shared" si="40"/>
        <v>0</v>
      </c>
      <c r="K103" s="54"/>
      <c r="L103" s="324">
        <f t="shared" si="36"/>
        <v>598764.03634994966</v>
      </c>
      <c r="M103" s="63">
        <f t="shared" si="37"/>
        <v>0</v>
      </c>
      <c r="N103" s="324">
        <f t="shared" si="38"/>
        <v>598764.03634994966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9"/>
        <v/>
      </c>
      <c r="C104" s="50">
        <f>IF(D93="","-",+C103+1)</f>
        <v>2019</v>
      </c>
      <c r="D104" s="411">
        <v>4624126</v>
      </c>
      <c r="E104" s="412">
        <v>123397</v>
      </c>
      <c r="F104" s="413">
        <v>4500729</v>
      </c>
      <c r="G104" s="413">
        <v>4562427.5</v>
      </c>
      <c r="H104" s="431">
        <v>593847.268225985</v>
      </c>
      <c r="I104" s="432">
        <v>593847.268225985</v>
      </c>
      <c r="J104" s="54">
        <f t="shared" si="40"/>
        <v>0</v>
      </c>
      <c r="K104" s="54"/>
      <c r="L104" s="324">
        <f t="shared" si="36"/>
        <v>593847.268225985</v>
      </c>
      <c r="M104" s="63">
        <f t="shared" si="37"/>
        <v>0</v>
      </c>
      <c r="N104" s="324">
        <f t="shared" si="38"/>
        <v>593847.268225985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 ht="12.5">
      <c r="B105" s="7" t="str">
        <f t="shared" si="39"/>
        <v/>
      </c>
      <c r="C105" s="50">
        <f>IF(D93="","-",+C104+1)</f>
        <v>2020</v>
      </c>
      <c r="D105" s="411">
        <v>4500729</v>
      </c>
      <c r="E105" s="412">
        <v>117658</v>
      </c>
      <c r="F105" s="413">
        <v>4383071</v>
      </c>
      <c r="G105" s="413">
        <v>4441900</v>
      </c>
      <c r="H105" s="431">
        <v>629796.85800289037</v>
      </c>
      <c r="I105" s="432">
        <v>629796.85800289037</v>
      </c>
      <c r="J105" s="54">
        <f t="shared" si="40"/>
        <v>0</v>
      </c>
      <c r="K105" s="54"/>
      <c r="L105" s="324">
        <f t="shared" si="36"/>
        <v>629796.85800289037</v>
      </c>
      <c r="M105" s="63">
        <f t="shared" si="37"/>
        <v>0</v>
      </c>
      <c r="N105" s="324">
        <f t="shared" si="38"/>
        <v>629796.85800289037</v>
      </c>
      <c r="O105" s="54">
        <f t="shared" si="41"/>
        <v>0</v>
      </c>
      <c r="P105" s="54">
        <f t="shared" si="42"/>
        <v>0</v>
      </c>
    </row>
    <row r="106" spans="1:16" ht="12.5">
      <c r="B106" s="7" t="str">
        <f t="shared" si="39"/>
        <v/>
      </c>
      <c r="C106" s="50">
        <f>IF(D93="","-",+C105+1)</f>
        <v>2021</v>
      </c>
      <c r="D106" s="411">
        <v>4383071</v>
      </c>
      <c r="E106" s="412">
        <v>123397</v>
      </c>
      <c r="F106" s="413">
        <v>4259674</v>
      </c>
      <c r="G106" s="413">
        <v>4321372.5</v>
      </c>
      <c r="H106" s="431">
        <v>615138.04650435934</v>
      </c>
      <c r="I106" s="432">
        <v>615138.04650435934</v>
      </c>
      <c r="J106" s="54">
        <f t="shared" si="40"/>
        <v>0</v>
      </c>
      <c r="K106" s="54"/>
      <c r="L106" s="324">
        <f t="shared" ref="L106" si="43">H106</f>
        <v>615138.04650435934</v>
      </c>
      <c r="M106" s="63">
        <f t="shared" ref="M106" si="44">IF(L106&lt;&gt;0,+H106-L106,0)</f>
        <v>0</v>
      </c>
      <c r="N106" s="324">
        <f t="shared" ref="N106" si="45">I106</f>
        <v>615138.04650435934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 ht="12.5">
      <c r="B107" s="7" t="str">
        <f t="shared" si="39"/>
        <v/>
      </c>
      <c r="C107" s="450">
        <f>IF(D93="","-",+C106+1)</f>
        <v>2022</v>
      </c>
      <c r="D107" s="411">
        <v>4259674</v>
      </c>
      <c r="E107" s="412">
        <v>129725</v>
      </c>
      <c r="F107" s="413">
        <v>4129949</v>
      </c>
      <c r="G107" s="413">
        <v>4194811.5</v>
      </c>
      <c r="H107" s="431">
        <v>591920.45938328374</v>
      </c>
      <c r="I107" s="432">
        <v>591920.45938328374</v>
      </c>
      <c r="J107" s="54">
        <f t="shared" si="40"/>
        <v>0</v>
      </c>
      <c r="K107" s="54"/>
      <c r="L107" s="324">
        <f t="shared" ref="L107:L108" si="48">H107</f>
        <v>591920.45938328374</v>
      </c>
      <c r="M107" s="63">
        <f t="shared" ref="M107:M108" si="49">IF(L107&lt;&gt;0,+H107-L107,0)</f>
        <v>0</v>
      </c>
      <c r="N107" s="324">
        <f t="shared" ref="N107:N108" si="50">I107</f>
        <v>591920.45938328374</v>
      </c>
      <c r="O107" s="54">
        <f t="shared" ref="O107:O108" si="51">IF(N107&lt;&gt;0,+I107-N107,0)</f>
        <v>0</v>
      </c>
      <c r="P107" s="54">
        <f t="shared" si="42"/>
        <v>0</v>
      </c>
    </row>
    <row r="108" spans="1:16" ht="12.5">
      <c r="B108" s="7" t="str">
        <f t="shared" si="39"/>
        <v/>
      </c>
      <c r="C108" s="50">
        <f>IF(D93="","-",+C107+1)</f>
        <v>2023</v>
      </c>
      <c r="D108" s="411">
        <v>4129949</v>
      </c>
      <c r="E108" s="412">
        <v>133139</v>
      </c>
      <c r="F108" s="413">
        <v>3996810</v>
      </c>
      <c r="G108" s="413">
        <v>4063379.5</v>
      </c>
      <c r="H108" s="431">
        <v>597286.86573095911</v>
      </c>
      <c r="I108" s="432">
        <v>597286.86573095911</v>
      </c>
      <c r="J108" s="54">
        <f t="shared" si="40"/>
        <v>0</v>
      </c>
      <c r="K108" s="54"/>
      <c r="L108" s="324">
        <f t="shared" si="48"/>
        <v>597286.86573095911</v>
      </c>
      <c r="M108" s="63">
        <f t="shared" si="49"/>
        <v>0</v>
      </c>
      <c r="N108" s="324">
        <f t="shared" si="50"/>
        <v>597286.86573095911</v>
      </c>
      <c r="O108" s="54">
        <f t="shared" si="51"/>
        <v>0</v>
      </c>
      <c r="P108" s="54">
        <f t="shared" si="42"/>
        <v>0</v>
      </c>
    </row>
    <row r="109" spans="1:16" ht="12.5">
      <c r="B109" s="7" t="str">
        <f t="shared" si="39"/>
        <v>IU</v>
      </c>
      <c r="C109" s="50">
        <f>IF(D93="","-",+C108+1)</f>
        <v>2024</v>
      </c>
      <c r="D109" s="411">
        <v>3996810.0399999991</v>
      </c>
      <c r="E109" s="412">
        <v>133139</v>
      </c>
      <c r="F109" s="413">
        <v>3863671.0399999991</v>
      </c>
      <c r="G109" s="413">
        <v>3930240.5399999991</v>
      </c>
      <c r="H109" s="431">
        <v>661043.83836890443</v>
      </c>
      <c r="I109" s="432">
        <v>661043.83836890443</v>
      </c>
      <c r="J109" s="54">
        <f t="shared" si="40"/>
        <v>0</v>
      </c>
      <c r="K109" s="54"/>
      <c r="L109" s="324">
        <f t="shared" ref="L109" si="52">H109</f>
        <v>661043.83836890443</v>
      </c>
      <c r="M109" s="63">
        <f t="shared" ref="M109" si="53">IF(L109&lt;&gt;0,+H109-L109,0)</f>
        <v>0</v>
      </c>
      <c r="N109" s="324">
        <f t="shared" ref="N109" si="54">I109</f>
        <v>661043.83836890443</v>
      </c>
      <c r="O109" s="54">
        <f t="shared" ref="O109" si="55">IF(N109&lt;&gt;0,+I109-N109,0)</f>
        <v>0</v>
      </c>
      <c r="P109" s="54">
        <f t="shared" ref="P109" si="56">+O109-M109</f>
        <v>0</v>
      </c>
    </row>
    <row r="110" spans="1:16" ht="12.5">
      <c r="B110" s="7" t="str">
        <f t="shared" si="39"/>
        <v>IU</v>
      </c>
      <c r="C110" s="50">
        <f>IF(D93="","-",+C109+1)</f>
        <v>2025</v>
      </c>
      <c r="D110" s="12">
        <f>IF(F109+SUM(E$99:E109)=D$92,F109,D$92-SUM(E$99:E109))</f>
        <v>3863671</v>
      </c>
      <c r="E110" s="354">
        <f t="shared" ref="E110:E154" si="57">IF(+J$96&lt;F109,J$96,D110)</f>
        <v>136737</v>
      </c>
      <c r="F110" s="55">
        <f t="shared" ref="F110:F154" si="58">+D110-E110</f>
        <v>3726934</v>
      </c>
      <c r="G110" s="55">
        <f t="shared" ref="G110:G154" si="59">+(F110+D110)/2</f>
        <v>3795302.5</v>
      </c>
      <c r="H110" s="356">
        <f t="shared" ref="H110:H154" si="60">+J$94*G110+E110</f>
        <v>646517.13493891642</v>
      </c>
      <c r="I110" s="381">
        <f t="shared" ref="I110:I154" si="61">+J$95*G110+E110</f>
        <v>646517.13493891642</v>
      </c>
      <c r="J110" s="54">
        <f t="shared" si="40"/>
        <v>0</v>
      </c>
      <c r="K110" s="54"/>
      <c r="L110" s="115"/>
      <c r="M110" s="54">
        <f t="shared" ref="M110:M130" si="62">IF(L110&lt;&gt;0,+H110-L110,0)</f>
        <v>0</v>
      </c>
      <c r="N110" s="115"/>
      <c r="O110" s="54">
        <f t="shared" si="41"/>
        <v>0</v>
      </c>
      <c r="P110" s="54">
        <f t="shared" si="42"/>
        <v>0</v>
      </c>
    </row>
    <row r="111" spans="1:16" ht="12.5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3726934</v>
      </c>
      <c r="E111" s="354">
        <f t="shared" si="57"/>
        <v>136737</v>
      </c>
      <c r="F111" s="55">
        <f t="shared" si="58"/>
        <v>3590197</v>
      </c>
      <c r="G111" s="55">
        <f t="shared" si="59"/>
        <v>3658565.5</v>
      </c>
      <c r="H111" s="356">
        <f t="shared" si="60"/>
        <v>628150.79752282309</v>
      </c>
      <c r="I111" s="381">
        <f t="shared" si="61"/>
        <v>628150.79752282309</v>
      </c>
      <c r="J111" s="54">
        <f t="shared" si="40"/>
        <v>0</v>
      </c>
      <c r="K111" s="54"/>
      <c r="L111" s="115"/>
      <c r="M111" s="54">
        <f t="shared" si="62"/>
        <v>0</v>
      </c>
      <c r="N111" s="115"/>
      <c r="O111" s="54">
        <f t="shared" si="41"/>
        <v>0</v>
      </c>
      <c r="P111" s="54">
        <f t="shared" si="42"/>
        <v>0</v>
      </c>
    </row>
    <row r="112" spans="1:16" ht="12.5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3590197</v>
      </c>
      <c r="E112" s="354">
        <f t="shared" si="57"/>
        <v>136737</v>
      </c>
      <c r="F112" s="55">
        <f t="shared" si="58"/>
        <v>3453460</v>
      </c>
      <c r="G112" s="55">
        <f t="shared" si="59"/>
        <v>3521828.5</v>
      </c>
      <c r="H112" s="356">
        <f t="shared" si="60"/>
        <v>609784.46010672965</v>
      </c>
      <c r="I112" s="381">
        <f t="shared" si="61"/>
        <v>609784.46010672965</v>
      </c>
      <c r="J112" s="54">
        <f t="shared" si="40"/>
        <v>0</v>
      </c>
      <c r="K112" s="54"/>
      <c r="L112" s="115"/>
      <c r="M112" s="54">
        <f t="shared" si="62"/>
        <v>0</v>
      </c>
      <c r="N112" s="115"/>
      <c r="O112" s="54">
        <f t="shared" si="41"/>
        <v>0</v>
      </c>
      <c r="P112" s="54">
        <f t="shared" si="42"/>
        <v>0</v>
      </c>
    </row>
    <row r="113" spans="2:16" ht="12.5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3453460</v>
      </c>
      <c r="E113" s="354">
        <f t="shared" si="57"/>
        <v>136737</v>
      </c>
      <c r="F113" s="55">
        <f t="shared" si="58"/>
        <v>3316723</v>
      </c>
      <c r="G113" s="55">
        <f t="shared" si="59"/>
        <v>3385091.5</v>
      </c>
      <c r="H113" s="356">
        <f t="shared" si="60"/>
        <v>591418.12269063632</v>
      </c>
      <c r="I113" s="381">
        <f t="shared" si="61"/>
        <v>591418.12269063632</v>
      </c>
      <c r="J113" s="54">
        <f t="shared" si="40"/>
        <v>0</v>
      </c>
      <c r="K113" s="54"/>
      <c r="L113" s="115"/>
      <c r="M113" s="54">
        <f t="shared" si="62"/>
        <v>0</v>
      </c>
      <c r="N113" s="115"/>
      <c r="O113" s="54">
        <f t="shared" si="41"/>
        <v>0</v>
      </c>
      <c r="P113" s="54">
        <f t="shared" si="42"/>
        <v>0</v>
      </c>
    </row>
    <row r="114" spans="2:16" ht="12.5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3316723</v>
      </c>
      <c r="E114" s="354">
        <f t="shared" si="57"/>
        <v>136737</v>
      </c>
      <c r="F114" s="55">
        <f t="shared" si="58"/>
        <v>3179986</v>
      </c>
      <c r="G114" s="55">
        <f t="shared" si="59"/>
        <v>3248354.5</v>
      </c>
      <c r="H114" s="356">
        <f t="shared" si="60"/>
        <v>573051.78527454298</v>
      </c>
      <c r="I114" s="381">
        <f t="shared" si="61"/>
        <v>573051.78527454298</v>
      </c>
      <c r="J114" s="54">
        <f t="shared" si="40"/>
        <v>0</v>
      </c>
      <c r="K114" s="54"/>
      <c r="L114" s="115"/>
      <c r="M114" s="54">
        <f t="shared" si="62"/>
        <v>0</v>
      </c>
      <c r="N114" s="115"/>
      <c r="O114" s="54">
        <f t="shared" si="41"/>
        <v>0</v>
      </c>
      <c r="P114" s="54">
        <f t="shared" si="42"/>
        <v>0</v>
      </c>
    </row>
    <row r="115" spans="2:16" ht="12.5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3179986</v>
      </c>
      <c r="E115" s="354">
        <f t="shared" si="57"/>
        <v>136737</v>
      </c>
      <c r="F115" s="55">
        <f t="shared" si="58"/>
        <v>3043249</v>
      </c>
      <c r="G115" s="55">
        <f t="shared" si="59"/>
        <v>3111617.5</v>
      </c>
      <c r="H115" s="356">
        <f t="shared" si="60"/>
        <v>554685.44785844965</v>
      </c>
      <c r="I115" s="381">
        <f t="shared" si="61"/>
        <v>554685.44785844965</v>
      </c>
      <c r="J115" s="54">
        <f t="shared" si="40"/>
        <v>0</v>
      </c>
      <c r="K115" s="54"/>
      <c r="L115" s="115"/>
      <c r="M115" s="54">
        <f t="shared" si="62"/>
        <v>0</v>
      </c>
      <c r="N115" s="115"/>
      <c r="O115" s="54">
        <f t="shared" si="41"/>
        <v>0</v>
      </c>
      <c r="P115" s="54">
        <f t="shared" si="42"/>
        <v>0</v>
      </c>
    </row>
    <row r="116" spans="2:16" ht="12.5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3043249</v>
      </c>
      <c r="E116" s="354">
        <f t="shared" si="57"/>
        <v>136737</v>
      </c>
      <c r="F116" s="55">
        <f t="shared" si="58"/>
        <v>2906512</v>
      </c>
      <c r="G116" s="55">
        <f t="shared" si="59"/>
        <v>2974880.5</v>
      </c>
      <c r="H116" s="356">
        <f t="shared" si="60"/>
        <v>536319.11044235632</v>
      </c>
      <c r="I116" s="381">
        <f t="shared" si="61"/>
        <v>536319.11044235632</v>
      </c>
      <c r="J116" s="54">
        <f t="shared" si="40"/>
        <v>0</v>
      </c>
      <c r="K116" s="54"/>
      <c r="L116" s="115"/>
      <c r="M116" s="54">
        <f t="shared" si="62"/>
        <v>0</v>
      </c>
      <c r="N116" s="115"/>
      <c r="O116" s="54">
        <f t="shared" si="41"/>
        <v>0</v>
      </c>
      <c r="P116" s="54">
        <f t="shared" si="42"/>
        <v>0</v>
      </c>
    </row>
    <row r="117" spans="2:16" ht="12.5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2906512</v>
      </c>
      <c r="E117" s="354">
        <f t="shared" si="57"/>
        <v>136737</v>
      </c>
      <c r="F117" s="55">
        <f t="shared" si="58"/>
        <v>2769775</v>
      </c>
      <c r="G117" s="55">
        <f t="shared" si="59"/>
        <v>2838143.5</v>
      </c>
      <c r="H117" s="356">
        <f t="shared" si="60"/>
        <v>517952.77302626293</v>
      </c>
      <c r="I117" s="381">
        <f t="shared" si="61"/>
        <v>517952.77302626293</v>
      </c>
      <c r="J117" s="54">
        <f t="shared" si="40"/>
        <v>0</v>
      </c>
      <c r="K117" s="54"/>
      <c r="L117" s="115"/>
      <c r="M117" s="54">
        <f t="shared" si="62"/>
        <v>0</v>
      </c>
      <c r="N117" s="115"/>
      <c r="O117" s="54">
        <f t="shared" si="41"/>
        <v>0</v>
      </c>
      <c r="P117" s="54">
        <f t="shared" si="42"/>
        <v>0</v>
      </c>
    </row>
    <row r="118" spans="2:16" ht="12.5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2769775</v>
      </c>
      <c r="E118" s="354">
        <f t="shared" si="57"/>
        <v>136737</v>
      </c>
      <c r="F118" s="55">
        <f t="shared" si="58"/>
        <v>2633038</v>
      </c>
      <c r="G118" s="55">
        <f t="shared" si="59"/>
        <v>2701406.5</v>
      </c>
      <c r="H118" s="356">
        <f t="shared" si="60"/>
        <v>499586.4356101696</v>
      </c>
      <c r="I118" s="381">
        <f t="shared" si="61"/>
        <v>499586.4356101696</v>
      </c>
      <c r="J118" s="54">
        <f t="shared" si="40"/>
        <v>0</v>
      </c>
      <c r="K118" s="54"/>
      <c r="L118" s="115"/>
      <c r="M118" s="54">
        <f t="shared" si="62"/>
        <v>0</v>
      </c>
      <c r="N118" s="115"/>
      <c r="O118" s="54">
        <f t="shared" si="41"/>
        <v>0</v>
      </c>
      <c r="P118" s="54">
        <f t="shared" si="42"/>
        <v>0</v>
      </c>
    </row>
    <row r="119" spans="2:16" ht="12.5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2633038</v>
      </c>
      <c r="E119" s="354">
        <f t="shared" si="57"/>
        <v>136737</v>
      </c>
      <c r="F119" s="55">
        <f t="shared" si="58"/>
        <v>2496301</v>
      </c>
      <c r="G119" s="55">
        <f t="shared" si="59"/>
        <v>2564669.5</v>
      </c>
      <c r="H119" s="356">
        <f t="shared" si="60"/>
        <v>481220.09819407627</v>
      </c>
      <c r="I119" s="381">
        <f t="shared" si="61"/>
        <v>481220.09819407627</v>
      </c>
      <c r="J119" s="54">
        <f t="shared" si="40"/>
        <v>0</v>
      </c>
      <c r="K119" s="54"/>
      <c r="L119" s="115"/>
      <c r="M119" s="54">
        <f t="shared" si="62"/>
        <v>0</v>
      </c>
      <c r="N119" s="115"/>
      <c r="O119" s="54">
        <f t="shared" si="41"/>
        <v>0</v>
      </c>
      <c r="P119" s="54">
        <f t="shared" si="42"/>
        <v>0</v>
      </c>
    </row>
    <row r="120" spans="2:16" ht="12.5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2496301</v>
      </c>
      <c r="E120" s="354">
        <f t="shared" si="57"/>
        <v>136737</v>
      </c>
      <c r="F120" s="55">
        <f t="shared" si="58"/>
        <v>2359564</v>
      </c>
      <c r="G120" s="55">
        <f t="shared" si="59"/>
        <v>2427932.5</v>
      </c>
      <c r="H120" s="356">
        <f t="shared" si="60"/>
        <v>462853.76077798294</v>
      </c>
      <c r="I120" s="381">
        <f t="shared" si="61"/>
        <v>462853.76077798294</v>
      </c>
      <c r="J120" s="54">
        <f t="shared" si="40"/>
        <v>0</v>
      </c>
      <c r="K120" s="54"/>
      <c r="L120" s="115"/>
      <c r="M120" s="54">
        <f t="shared" si="62"/>
        <v>0</v>
      </c>
      <c r="N120" s="115"/>
      <c r="O120" s="54">
        <f t="shared" si="41"/>
        <v>0</v>
      </c>
      <c r="P120" s="54">
        <f t="shared" si="42"/>
        <v>0</v>
      </c>
    </row>
    <row r="121" spans="2:16" ht="12.5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2359564</v>
      </c>
      <c r="E121" s="354">
        <f t="shared" si="57"/>
        <v>136737</v>
      </c>
      <c r="F121" s="55">
        <f t="shared" si="58"/>
        <v>2222827</v>
      </c>
      <c r="G121" s="55">
        <f t="shared" si="59"/>
        <v>2291195.5</v>
      </c>
      <c r="H121" s="356">
        <f t="shared" si="60"/>
        <v>444487.42336188961</v>
      </c>
      <c r="I121" s="381">
        <f t="shared" si="61"/>
        <v>444487.42336188961</v>
      </c>
      <c r="J121" s="54">
        <f t="shared" si="40"/>
        <v>0</v>
      </c>
      <c r="K121" s="54"/>
      <c r="L121" s="115"/>
      <c r="M121" s="54">
        <f t="shared" si="62"/>
        <v>0</v>
      </c>
      <c r="N121" s="115"/>
      <c r="O121" s="54">
        <f t="shared" si="41"/>
        <v>0</v>
      </c>
      <c r="P121" s="54">
        <f t="shared" si="42"/>
        <v>0</v>
      </c>
    </row>
    <row r="122" spans="2:16" ht="12.5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2222827</v>
      </c>
      <c r="E122" s="354">
        <f t="shared" si="57"/>
        <v>136737</v>
      </c>
      <c r="F122" s="55">
        <f t="shared" si="58"/>
        <v>2086090</v>
      </c>
      <c r="G122" s="55">
        <f t="shared" si="59"/>
        <v>2154458.5</v>
      </c>
      <c r="H122" s="356">
        <f t="shared" si="60"/>
        <v>426121.08594579622</v>
      </c>
      <c r="I122" s="381">
        <f t="shared" si="61"/>
        <v>426121.08594579622</v>
      </c>
      <c r="J122" s="54">
        <f t="shared" si="40"/>
        <v>0</v>
      </c>
      <c r="K122" s="54"/>
      <c r="L122" s="115"/>
      <c r="M122" s="54">
        <f t="shared" si="62"/>
        <v>0</v>
      </c>
      <c r="N122" s="115"/>
      <c r="O122" s="54">
        <f t="shared" si="41"/>
        <v>0</v>
      </c>
      <c r="P122" s="54">
        <f t="shared" si="42"/>
        <v>0</v>
      </c>
    </row>
    <row r="123" spans="2:16" ht="12.5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2086090</v>
      </c>
      <c r="E123" s="354">
        <f t="shared" si="57"/>
        <v>136737</v>
      </c>
      <c r="F123" s="55">
        <f t="shared" si="58"/>
        <v>1949353</v>
      </c>
      <c r="G123" s="55">
        <f t="shared" si="59"/>
        <v>2017721.5</v>
      </c>
      <c r="H123" s="356">
        <f t="shared" si="60"/>
        <v>407754.74852970289</v>
      </c>
      <c r="I123" s="381">
        <f t="shared" si="61"/>
        <v>407754.74852970289</v>
      </c>
      <c r="J123" s="54">
        <f t="shared" si="40"/>
        <v>0</v>
      </c>
      <c r="K123" s="54"/>
      <c r="L123" s="115"/>
      <c r="M123" s="54">
        <f t="shared" si="62"/>
        <v>0</v>
      </c>
      <c r="N123" s="115"/>
      <c r="O123" s="54">
        <f t="shared" si="41"/>
        <v>0</v>
      </c>
      <c r="P123" s="54">
        <f t="shared" si="42"/>
        <v>0</v>
      </c>
    </row>
    <row r="124" spans="2:16" ht="12.5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1949353</v>
      </c>
      <c r="E124" s="354">
        <f t="shared" si="57"/>
        <v>136737</v>
      </c>
      <c r="F124" s="55">
        <f t="shared" si="58"/>
        <v>1812616</v>
      </c>
      <c r="G124" s="55">
        <f t="shared" si="59"/>
        <v>1880984.5</v>
      </c>
      <c r="H124" s="356">
        <f t="shared" si="60"/>
        <v>389388.41111360956</v>
      </c>
      <c r="I124" s="381">
        <f t="shared" si="61"/>
        <v>389388.41111360956</v>
      </c>
      <c r="J124" s="54">
        <f t="shared" si="40"/>
        <v>0</v>
      </c>
      <c r="K124" s="54"/>
      <c r="L124" s="115"/>
      <c r="M124" s="54">
        <f t="shared" si="62"/>
        <v>0</v>
      </c>
      <c r="N124" s="115"/>
      <c r="O124" s="54">
        <f t="shared" si="41"/>
        <v>0</v>
      </c>
      <c r="P124" s="54">
        <f t="shared" si="42"/>
        <v>0</v>
      </c>
    </row>
    <row r="125" spans="2:16" ht="12.5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1812616</v>
      </c>
      <c r="E125" s="354">
        <f t="shared" si="57"/>
        <v>136737</v>
      </c>
      <c r="F125" s="55">
        <f t="shared" si="58"/>
        <v>1675879</v>
      </c>
      <c r="G125" s="55">
        <f t="shared" si="59"/>
        <v>1744247.5</v>
      </c>
      <c r="H125" s="356">
        <f t="shared" si="60"/>
        <v>371022.07369751623</v>
      </c>
      <c r="I125" s="381">
        <f t="shared" si="61"/>
        <v>371022.07369751623</v>
      </c>
      <c r="J125" s="54">
        <f t="shared" si="40"/>
        <v>0</v>
      </c>
      <c r="K125" s="54"/>
      <c r="L125" s="115"/>
      <c r="M125" s="54">
        <f t="shared" si="62"/>
        <v>0</v>
      </c>
      <c r="N125" s="115"/>
      <c r="O125" s="54">
        <f t="shared" si="41"/>
        <v>0</v>
      </c>
      <c r="P125" s="54">
        <f t="shared" si="42"/>
        <v>0</v>
      </c>
    </row>
    <row r="126" spans="2:16" ht="12.5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1675879</v>
      </c>
      <c r="E126" s="354">
        <f t="shared" si="57"/>
        <v>136737</v>
      </c>
      <c r="F126" s="55">
        <f t="shared" si="58"/>
        <v>1539142</v>
      </c>
      <c r="G126" s="55">
        <f t="shared" si="59"/>
        <v>1607510.5</v>
      </c>
      <c r="H126" s="356">
        <f t="shared" si="60"/>
        <v>352655.7362814229</v>
      </c>
      <c r="I126" s="381">
        <f t="shared" si="61"/>
        <v>352655.7362814229</v>
      </c>
      <c r="J126" s="54">
        <f t="shared" si="40"/>
        <v>0</v>
      </c>
      <c r="K126" s="54"/>
      <c r="L126" s="115"/>
      <c r="M126" s="54">
        <f t="shared" si="62"/>
        <v>0</v>
      </c>
      <c r="N126" s="115"/>
      <c r="O126" s="54">
        <f t="shared" si="41"/>
        <v>0</v>
      </c>
      <c r="P126" s="54">
        <f t="shared" si="42"/>
        <v>0</v>
      </c>
    </row>
    <row r="127" spans="2:16" ht="12.5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1539142</v>
      </c>
      <c r="E127" s="354">
        <f t="shared" si="57"/>
        <v>136737</v>
      </c>
      <c r="F127" s="55">
        <f t="shared" si="58"/>
        <v>1402405</v>
      </c>
      <c r="G127" s="55">
        <f t="shared" si="59"/>
        <v>1470773.5</v>
      </c>
      <c r="H127" s="356">
        <f t="shared" si="60"/>
        <v>334289.39886532951</v>
      </c>
      <c r="I127" s="381">
        <f t="shared" si="61"/>
        <v>334289.39886532951</v>
      </c>
      <c r="J127" s="54">
        <f t="shared" si="40"/>
        <v>0</v>
      </c>
      <c r="K127" s="54"/>
      <c r="L127" s="115"/>
      <c r="M127" s="54">
        <f t="shared" si="62"/>
        <v>0</v>
      </c>
      <c r="N127" s="115"/>
      <c r="O127" s="54">
        <f t="shared" si="41"/>
        <v>0</v>
      </c>
      <c r="P127" s="54">
        <f t="shared" si="42"/>
        <v>0</v>
      </c>
    </row>
    <row r="128" spans="2:16" ht="12.5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1402405</v>
      </c>
      <c r="E128" s="354">
        <f t="shared" si="57"/>
        <v>136737</v>
      </c>
      <c r="F128" s="55">
        <f t="shared" si="58"/>
        <v>1265668</v>
      </c>
      <c r="G128" s="55">
        <f t="shared" si="59"/>
        <v>1334036.5</v>
      </c>
      <c r="H128" s="356">
        <f t="shared" si="60"/>
        <v>315923.06144923618</v>
      </c>
      <c r="I128" s="381">
        <f t="shared" si="61"/>
        <v>315923.06144923618</v>
      </c>
      <c r="J128" s="54">
        <f t="shared" si="40"/>
        <v>0</v>
      </c>
      <c r="K128" s="54"/>
      <c r="L128" s="115"/>
      <c r="M128" s="54">
        <f t="shared" si="62"/>
        <v>0</v>
      </c>
      <c r="N128" s="115"/>
      <c r="O128" s="54">
        <f t="shared" si="41"/>
        <v>0</v>
      </c>
      <c r="P128" s="54">
        <f t="shared" si="42"/>
        <v>0</v>
      </c>
    </row>
    <row r="129" spans="2:16" ht="12.5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1265668</v>
      </c>
      <c r="E129" s="354">
        <f t="shared" si="57"/>
        <v>136737</v>
      </c>
      <c r="F129" s="55">
        <f t="shared" si="58"/>
        <v>1128931</v>
      </c>
      <c r="G129" s="55">
        <f t="shared" si="59"/>
        <v>1197299.5</v>
      </c>
      <c r="H129" s="356">
        <f t="shared" si="60"/>
        <v>297556.72403314285</v>
      </c>
      <c r="I129" s="381">
        <f t="shared" si="61"/>
        <v>297556.72403314285</v>
      </c>
      <c r="J129" s="54">
        <f t="shared" si="40"/>
        <v>0</v>
      </c>
      <c r="K129" s="54"/>
      <c r="L129" s="115"/>
      <c r="M129" s="54">
        <f t="shared" si="62"/>
        <v>0</v>
      </c>
      <c r="N129" s="115"/>
      <c r="O129" s="54">
        <f t="shared" si="41"/>
        <v>0</v>
      </c>
      <c r="P129" s="54">
        <f t="shared" si="42"/>
        <v>0</v>
      </c>
    </row>
    <row r="130" spans="2:16" ht="12.5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1128931</v>
      </c>
      <c r="E130" s="354">
        <f t="shared" si="57"/>
        <v>136737</v>
      </c>
      <c r="F130" s="55">
        <f t="shared" si="58"/>
        <v>992194</v>
      </c>
      <c r="G130" s="55">
        <f t="shared" si="59"/>
        <v>1060562.5</v>
      </c>
      <c r="H130" s="356">
        <f t="shared" si="60"/>
        <v>279190.38661704946</v>
      </c>
      <c r="I130" s="381">
        <f t="shared" si="61"/>
        <v>279190.38661704946</v>
      </c>
      <c r="J130" s="54">
        <f t="shared" si="40"/>
        <v>0</v>
      </c>
      <c r="K130" s="54"/>
      <c r="L130" s="115"/>
      <c r="M130" s="54">
        <f t="shared" si="62"/>
        <v>0</v>
      </c>
      <c r="N130" s="115"/>
      <c r="O130" s="54">
        <f t="shared" si="41"/>
        <v>0</v>
      </c>
      <c r="P130" s="54">
        <f t="shared" si="42"/>
        <v>0</v>
      </c>
    </row>
    <row r="131" spans="2:16" ht="12.5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992194</v>
      </c>
      <c r="E131" s="354">
        <f t="shared" si="57"/>
        <v>136737</v>
      </c>
      <c r="F131" s="55">
        <f t="shared" si="58"/>
        <v>855457</v>
      </c>
      <c r="G131" s="55">
        <f t="shared" si="59"/>
        <v>923825.5</v>
      </c>
      <c r="H131" s="356">
        <f t="shared" si="60"/>
        <v>260824.04920095616</v>
      </c>
      <c r="I131" s="381">
        <f t="shared" si="61"/>
        <v>260824.04920095616</v>
      </c>
      <c r="J131" s="54">
        <f t="shared" si="40"/>
        <v>0</v>
      </c>
      <c r="K131" s="54"/>
      <c r="L131" s="115"/>
      <c r="M131" s="54">
        <f t="shared" ref="M131:M154" si="63">IF(L540&lt;&gt;0,+H540-L540,0)</f>
        <v>0</v>
      </c>
      <c r="N131" s="115"/>
      <c r="O131" s="54">
        <f t="shared" ref="O131:O154" si="64">IF(N540&lt;&gt;0,+I540-N540,0)</f>
        <v>0</v>
      </c>
      <c r="P131" s="54">
        <f t="shared" ref="P131:P154" si="65">+O540-M540</f>
        <v>0</v>
      </c>
    </row>
    <row r="132" spans="2:16" ht="12.5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855457</v>
      </c>
      <c r="E132" s="354">
        <f t="shared" si="57"/>
        <v>136737</v>
      </c>
      <c r="F132" s="55">
        <f t="shared" si="58"/>
        <v>718720</v>
      </c>
      <c r="G132" s="55">
        <f t="shared" si="59"/>
        <v>787088.5</v>
      </c>
      <c r="H132" s="356">
        <f t="shared" si="60"/>
        <v>242457.7117848628</v>
      </c>
      <c r="I132" s="381">
        <f t="shared" si="61"/>
        <v>242457.7117848628</v>
      </c>
      <c r="J132" s="54">
        <f t="shared" si="40"/>
        <v>0</v>
      </c>
      <c r="K132" s="54"/>
      <c r="L132" s="115"/>
      <c r="M132" s="54">
        <f t="shared" si="63"/>
        <v>0</v>
      </c>
      <c r="N132" s="115"/>
      <c r="O132" s="54">
        <f t="shared" si="64"/>
        <v>0</v>
      </c>
      <c r="P132" s="54">
        <f t="shared" si="65"/>
        <v>0</v>
      </c>
    </row>
    <row r="133" spans="2:16" ht="12.5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718720</v>
      </c>
      <c r="E133" s="354">
        <f t="shared" si="57"/>
        <v>136737</v>
      </c>
      <c r="F133" s="55">
        <f t="shared" si="58"/>
        <v>581983</v>
      </c>
      <c r="G133" s="55">
        <f t="shared" si="59"/>
        <v>650351.5</v>
      </c>
      <c r="H133" s="356">
        <f t="shared" si="60"/>
        <v>224091.37436876947</v>
      </c>
      <c r="I133" s="381">
        <f t="shared" si="61"/>
        <v>224091.37436876947</v>
      </c>
      <c r="J133" s="54">
        <f t="shared" si="40"/>
        <v>0</v>
      </c>
      <c r="K133" s="54"/>
      <c r="L133" s="115"/>
      <c r="M133" s="54">
        <f t="shared" si="63"/>
        <v>0</v>
      </c>
      <c r="N133" s="115"/>
      <c r="O133" s="54">
        <f t="shared" si="64"/>
        <v>0</v>
      </c>
      <c r="P133" s="54">
        <f t="shared" si="65"/>
        <v>0</v>
      </c>
    </row>
    <row r="134" spans="2:16" ht="12.5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581983</v>
      </c>
      <c r="E134" s="354">
        <f t="shared" si="57"/>
        <v>136737</v>
      </c>
      <c r="F134" s="55">
        <f t="shared" si="58"/>
        <v>445246</v>
      </c>
      <c r="G134" s="55">
        <f t="shared" si="59"/>
        <v>513614.5</v>
      </c>
      <c r="H134" s="356">
        <f t="shared" si="60"/>
        <v>205725.03695267614</v>
      </c>
      <c r="I134" s="381">
        <f t="shared" si="61"/>
        <v>205725.03695267614</v>
      </c>
      <c r="J134" s="54">
        <f t="shared" si="40"/>
        <v>0</v>
      </c>
      <c r="K134" s="54"/>
      <c r="L134" s="115"/>
      <c r="M134" s="54">
        <f t="shared" si="63"/>
        <v>0</v>
      </c>
      <c r="N134" s="115"/>
      <c r="O134" s="54">
        <f t="shared" si="64"/>
        <v>0</v>
      </c>
      <c r="P134" s="54">
        <f t="shared" si="65"/>
        <v>0</v>
      </c>
    </row>
    <row r="135" spans="2:16" ht="12.5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445246</v>
      </c>
      <c r="E135" s="354">
        <f t="shared" si="57"/>
        <v>136737</v>
      </c>
      <c r="F135" s="55">
        <f t="shared" si="58"/>
        <v>308509</v>
      </c>
      <c r="G135" s="55">
        <f t="shared" si="59"/>
        <v>376877.5</v>
      </c>
      <c r="H135" s="356">
        <f t="shared" si="60"/>
        <v>187358.69953658278</v>
      </c>
      <c r="I135" s="381">
        <f t="shared" si="61"/>
        <v>187358.69953658278</v>
      </c>
      <c r="J135" s="54">
        <f t="shared" si="40"/>
        <v>0</v>
      </c>
      <c r="K135" s="54"/>
      <c r="L135" s="115"/>
      <c r="M135" s="54">
        <f t="shared" si="63"/>
        <v>0</v>
      </c>
      <c r="N135" s="115"/>
      <c r="O135" s="54">
        <f t="shared" si="64"/>
        <v>0</v>
      </c>
      <c r="P135" s="54">
        <f t="shared" si="65"/>
        <v>0</v>
      </c>
    </row>
    <row r="136" spans="2:16" ht="12.5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308509</v>
      </c>
      <c r="E136" s="354">
        <f t="shared" si="57"/>
        <v>136737</v>
      </c>
      <c r="F136" s="55">
        <f t="shared" si="58"/>
        <v>171772</v>
      </c>
      <c r="G136" s="55">
        <f t="shared" si="59"/>
        <v>240140.5</v>
      </c>
      <c r="H136" s="356">
        <f t="shared" si="60"/>
        <v>168992.36212048944</v>
      </c>
      <c r="I136" s="381">
        <f t="shared" si="61"/>
        <v>168992.36212048944</v>
      </c>
      <c r="J136" s="54">
        <f t="shared" si="40"/>
        <v>0</v>
      </c>
      <c r="K136" s="54"/>
      <c r="L136" s="115"/>
      <c r="M136" s="54">
        <f t="shared" si="63"/>
        <v>0</v>
      </c>
      <c r="N136" s="115"/>
      <c r="O136" s="54">
        <f t="shared" si="64"/>
        <v>0</v>
      </c>
      <c r="P136" s="54">
        <f t="shared" si="65"/>
        <v>0</v>
      </c>
    </row>
    <row r="137" spans="2:16" ht="12.5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171772</v>
      </c>
      <c r="E137" s="354">
        <f t="shared" si="57"/>
        <v>136737</v>
      </c>
      <c r="F137" s="55">
        <f t="shared" si="58"/>
        <v>35035</v>
      </c>
      <c r="G137" s="55">
        <f t="shared" si="59"/>
        <v>103403.5</v>
      </c>
      <c r="H137" s="356">
        <f t="shared" si="60"/>
        <v>150626.02470439608</v>
      </c>
      <c r="I137" s="381">
        <f t="shared" si="61"/>
        <v>150626.02470439608</v>
      </c>
      <c r="J137" s="54">
        <f t="shared" si="40"/>
        <v>0</v>
      </c>
      <c r="K137" s="54"/>
      <c r="L137" s="115"/>
      <c r="M137" s="54">
        <f t="shared" si="63"/>
        <v>0</v>
      </c>
      <c r="N137" s="115"/>
      <c r="O137" s="54">
        <f t="shared" si="64"/>
        <v>0</v>
      </c>
      <c r="P137" s="54">
        <f t="shared" si="65"/>
        <v>0</v>
      </c>
    </row>
    <row r="138" spans="2:16" ht="12.5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35035</v>
      </c>
      <c r="E138" s="354">
        <f t="shared" si="57"/>
        <v>35035</v>
      </c>
      <c r="F138" s="55">
        <f t="shared" si="58"/>
        <v>0</v>
      </c>
      <c r="G138" s="55">
        <f t="shared" si="59"/>
        <v>17517.5</v>
      </c>
      <c r="H138" s="356">
        <f t="shared" si="60"/>
        <v>37387.92799817471</v>
      </c>
      <c r="I138" s="381">
        <f t="shared" si="61"/>
        <v>37387.92799817471</v>
      </c>
      <c r="J138" s="54">
        <f t="shared" si="40"/>
        <v>0</v>
      </c>
      <c r="K138" s="54"/>
      <c r="L138" s="115"/>
      <c r="M138" s="54">
        <f t="shared" si="63"/>
        <v>0</v>
      </c>
      <c r="N138" s="115"/>
      <c r="O138" s="54">
        <f t="shared" si="64"/>
        <v>0</v>
      </c>
      <c r="P138" s="54">
        <f t="shared" si="65"/>
        <v>0</v>
      </c>
    </row>
    <row r="139" spans="2:16" ht="12.5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7"/>
        <v>0</v>
      </c>
      <c r="F139" s="55">
        <f t="shared" si="58"/>
        <v>0</v>
      </c>
      <c r="G139" s="55">
        <f t="shared" si="59"/>
        <v>0</v>
      </c>
      <c r="H139" s="356">
        <f t="shared" si="60"/>
        <v>0</v>
      </c>
      <c r="I139" s="381">
        <f t="shared" si="61"/>
        <v>0</v>
      </c>
      <c r="J139" s="54">
        <f t="shared" si="40"/>
        <v>0</v>
      </c>
      <c r="K139" s="54"/>
      <c r="L139" s="115"/>
      <c r="M139" s="54">
        <f t="shared" si="63"/>
        <v>0</v>
      </c>
      <c r="N139" s="115"/>
      <c r="O139" s="54">
        <f t="shared" si="64"/>
        <v>0</v>
      </c>
      <c r="P139" s="54">
        <f t="shared" si="65"/>
        <v>0</v>
      </c>
    </row>
    <row r="140" spans="2:16" ht="12.5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7"/>
        <v>0</v>
      </c>
      <c r="F140" s="55">
        <f t="shared" si="58"/>
        <v>0</v>
      </c>
      <c r="G140" s="55">
        <f t="shared" si="59"/>
        <v>0</v>
      </c>
      <c r="H140" s="356">
        <f t="shared" si="60"/>
        <v>0</v>
      </c>
      <c r="I140" s="381">
        <f t="shared" si="61"/>
        <v>0</v>
      </c>
      <c r="J140" s="54">
        <f t="shared" si="40"/>
        <v>0</v>
      </c>
      <c r="K140" s="54"/>
      <c r="L140" s="115"/>
      <c r="M140" s="54">
        <f t="shared" si="63"/>
        <v>0</v>
      </c>
      <c r="N140" s="115"/>
      <c r="O140" s="54">
        <f t="shared" si="64"/>
        <v>0</v>
      </c>
      <c r="P140" s="54">
        <f t="shared" si="65"/>
        <v>0</v>
      </c>
    </row>
    <row r="141" spans="2:16" ht="12.5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7"/>
        <v>0</v>
      </c>
      <c r="F141" s="55">
        <f t="shared" si="58"/>
        <v>0</v>
      </c>
      <c r="G141" s="55">
        <f t="shared" si="59"/>
        <v>0</v>
      </c>
      <c r="H141" s="356">
        <f t="shared" si="60"/>
        <v>0</v>
      </c>
      <c r="I141" s="381">
        <f t="shared" si="61"/>
        <v>0</v>
      </c>
      <c r="J141" s="54">
        <f t="shared" si="40"/>
        <v>0</v>
      </c>
      <c r="K141" s="54"/>
      <c r="L141" s="115"/>
      <c r="M141" s="54">
        <f t="shared" si="63"/>
        <v>0</v>
      </c>
      <c r="N141" s="115"/>
      <c r="O141" s="54">
        <f t="shared" si="64"/>
        <v>0</v>
      </c>
      <c r="P141" s="54">
        <f t="shared" si="65"/>
        <v>0</v>
      </c>
    </row>
    <row r="142" spans="2:16" ht="12.5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7"/>
        <v>0</v>
      </c>
      <c r="F142" s="55">
        <f t="shared" si="58"/>
        <v>0</v>
      </c>
      <c r="G142" s="55">
        <f t="shared" si="59"/>
        <v>0</v>
      </c>
      <c r="H142" s="356">
        <f t="shared" si="60"/>
        <v>0</v>
      </c>
      <c r="I142" s="381">
        <f t="shared" si="61"/>
        <v>0</v>
      </c>
      <c r="J142" s="54">
        <f t="shared" si="40"/>
        <v>0</v>
      </c>
      <c r="K142" s="54"/>
      <c r="L142" s="115"/>
      <c r="M142" s="54">
        <f t="shared" si="63"/>
        <v>0</v>
      </c>
      <c r="N142" s="115"/>
      <c r="O142" s="54">
        <f t="shared" si="64"/>
        <v>0</v>
      </c>
      <c r="P142" s="54">
        <f t="shared" si="65"/>
        <v>0</v>
      </c>
    </row>
    <row r="143" spans="2:16" ht="12.5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7"/>
        <v>0</v>
      </c>
      <c r="F143" s="55">
        <f t="shared" si="58"/>
        <v>0</v>
      </c>
      <c r="G143" s="55">
        <f t="shared" si="59"/>
        <v>0</v>
      </c>
      <c r="H143" s="356">
        <f t="shared" si="60"/>
        <v>0</v>
      </c>
      <c r="I143" s="381">
        <f t="shared" si="61"/>
        <v>0</v>
      </c>
      <c r="J143" s="54">
        <f t="shared" si="40"/>
        <v>0</v>
      </c>
      <c r="K143" s="54"/>
      <c r="L143" s="115"/>
      <c r="M143" s="54">
        <f t="shared" si="63"/>
        <v>0</v>
      </c>
      <c r="N143" s="115"/>
      <c r="O143" s="54">
        <f t="shared" si="64"/>
        <v>0</v>
      </c>
      <c r="P143" s="54">
        <f t="shared" si="65"/>
        <v>0</v>
      </c>
    </row>
    <row r="144" spans="2:16" ht="12.5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7"/>
        <v>0</v>
      </c>
      <c r="F144" s="55">
        <f t="shared" si="58"/>
        <v>0</v>
      </c>
      <c r="G144" s="55">
        <f t="shared" si="59"/>
        <v>0</v>
      </c>
      <c r="H144" s="356">
        <f t="shared" si="60"/>
        <v>0</v>
      </c>
      <c r="I144" s="381">
        <f t="shared" si="61"/>
        <v>0</v>
      </c>
      <c r="J144" s="54">
        <f t="shared" si="40"/>
        <v>0</v>
      </c>
      <c r="K144" s="54"/>
      <c r="L144" s="115"/>
      <c r="M144" s="54">
        <f t="shared" si="63"/>
        <v>0</v>
      </c>
      <c r="N144" s="115"/>
      <c r="O144" s="54">
        <f t="shared" si="64"/>
        <v>0</v>
      </c>
      <c r="P144" s="54">
        <f t="shared" si="65"/>
        <v>0</v>
      </c>
    </row>
    <row r="145" spans="2:16" ht="12.5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7"/>
        <v>0</v>
      </c>
      <c r="F145" s="55">
        <f t="shared" si="58"/>
        <v>0</v>
      </c>
      <c r="G145" s="55">
        <f t="shared" si="59"/>
        <v>0</v>
      </c>
      <c r="H145" s="356">
        <f t="shared" si="60"/>
        <v>0</v>
      </c>
      <c r="I145" s="381">
        <f t="shared" si="61"/>
        <v>0</v>
      </c>
      <c r="J145" s="54">
        <f t="shared" si="40"/>
        <v>0</v>
      </c>
      <c r="K145" s="54"/>
      <c r="L145" s="115"/>
      <c r="M145" s="54">
        <f t="shared" si="63"/>
        <v>0</v>
      </c>
      <c r="N145" s="115"/>
      <c r="O145" s="54">
        <f t="shared" si="64"/>
        <v>0</v>
      </c>
      <c r="P145" s="54">
        <f t="shared" si="65"/>
        <v>0</v>
      </c>
    </row>
    <row r="146" spans="2:16" ht="12.5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7"/>
        <v>0</v>
      </c>
      <c r="F146" s="55">
        <f t="shared" si="58"/>
        <v>0</v>
      </c>
      <c r="G146" s="55">
        <f t="shared" si="59"/>
        <v>0</v>
      </c>
      <c r="H146" s="356">
        <f t="shared" si="60"/>
        <v>0</v>
      </c>
      <c r="I146" s="381">
        <f t="shared" si="61"/>
        <v>0</v>
      </c>
      <c r="J146" s="54">
        <f t="shared" si="40"/>
        <v>0</v>
      </c>
      <c r="K146" s="54"/>
      <c r="L146" s="115"/>
      <c r="M146" s="54">
        <f t="shared" si="63"/>
        <v>0</v>
      </c>
      <c r="N146" s="115"/>
      <c r="O146" s="54">
        <f t="shared" si="64"/>
        <v>0</v>
      </c>
      <c r="P146" s="54">
        <f t="shared" si="65"/>
        <v>0</v>
      </c>
    </row>
    <row r="147" spans="2:16" ht="12.5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7"/>
        <v>0</v>
      </c>
      <c r="F147" s="55">
        <f t="shared" si="58"/>
        <v>0</v>
      </c>
      <c r="G147" s="55">
        <f t="shared" si="59"/>
        <v>0</v>
      </c>
      <c r="H147" s="356">
        <f t="shared" si="60"/>
        <v>0</v>
      </c>
      <c r="I147" s="381">
        <f t="shared" si="61"/>
        <v>0</v>
      </c>
      <c r="J147" s="54">
        <f t="shared" si="40"/>
        <v>0</v>
      </c>
      <c r="K147" s="54"/>
      <c r="L147" s="115"/>
      <c r="M147" s="54">
        <f t="shared" si="63"/>
        <v>0</v>
      </c>
      <c r="N147" s="115"/>
      <c r="O147" s="54">
        <f t="shared" si="64"/>
        <v>0</v>
      </c>
      <c r="P147" s="54">
        <f t="shared" si="65"/>
        <v>0</v>
      </c>
    </row>
    <row r="148" spans="2:16" ht="12.5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7"/>
        <v>0</v>
      </c>
      <c r="F148" s="55">
        <f t="shared" si="58"/>
        <v>0</v>
      </c>
      <c r="G148" s="55">
        <f t="shared" si="59"/>
        <v>0</v>
      </c>
      <c r="H148" s="356">
        <f t="shared" si="60"/>
        <v>0</v>
      </c>
      <c r="I148" s="381">
        <f t="shared" si="61"/>
        <v>0</v>
      </c>
      <c r="J148" s="54">
        <f t="shared" si="40"/>
        <v>0</v>
      </c>
      <c r="K148" s="54"/>
      <c r="L148" s="115"/>
      <c r="M148" s="54">
        <f t="shared" si="63"/>
        <v>0</v>
      </c>
      <c r="N148" s="115"/>
      <c r="O148" s="54">
        <f t="shared" si="64"/>
        <v>0</v>
      </c>
      <c r="P148" s="54">
        <f t="shared" si="65"/>
        <v>0</v>
      </c>
    </row>
    <row r="149" spans="2:16" ht="12.5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7"/>
        <v>0</v>
      </c>
      <c r="F149" s="55">
        <f t="shared" si="58"/>
        <v>0</v>
      </c>
      <c r="G149" s="55">
        <f t="shared" si="59"/>
        <v>0</v>
      </c>
      <c r="H149" s="356">
        <f t="shared" si="60"/>
        <v>0</v>
      </c>
      <c r="I149" s="381">
        <f t="shared" si="61"/>
        <v>0</v>
      </c>
      <c r="J149" s="54">
        <f t="shared" si="40"/>
        <v>0</v>
      </c>
      <c r="K149" s="54"/>
      <c r="L149" s="115"/>
      <c r="M149" s="54">
        <f t="shared" si="63"/>
        <v>0</v>
      </c>
      <c r="N149" s="115"/>
      <c r="O149" s="54">
        <f t="shared" si="64"/>
        <v>0</v>
      </c>
      <c r="P149" s="54">
        <f t="shared" si="65"/>
        <v>0</v>
      </c>
    </row>
    <row r="150" spans="2:16" ht="12.5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7"/>
        <v>0</v>
      </c>
      <c r="F150" s="55">
        <f t="shared" si="58"/>
        <v>0</v>
      </c>
      <c r="G150" s="55">
        <f t="shared" si="59"/>
        <v>0</v>
      </c>
      <c r="H150" s="356">
        <f t="shared" si="60"/>
        <v>0</v>
      </c>
      <c r="I150" s="381">
        <f t="shared" si="61"/>
        <v>0</v>
      </c>
      <c r="J150" s="54">
        <f t="shared" si="40"/>
        <v>0</v>
      </c>
      <c r="K150" s="54"/>
      <c r="L150" s="115"/>
      <c r="M150" s="54">
        <f t="shared" si="63"/>
        <v>0</v>
      </c>
      <c r="N150" s="115"/>
      <c r="O150" s="54">
        <f t="shared" si="64"/>
        <v>0</v>
      </c>
      <c r="P150" s="54">
        <f t="shared" si="65"/>
        <v>0</v>
      </c>
    </row>
    <row r="151" spans="2:16" ht="12.5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7"/>
        <v>0</v>
      </c>
      <c r="F151" s="55">
        <f t="shared" si="58"/>
        <v>0</v>
      </c>
      <c r="G151" s="55">
        <f t="shared" si="59"/>
        <v>0</v>
      </c>
      <c r="H151" s="356">
        <f t="shared" si="60"/>
        <v>0</v>
      </c>
      <c r="I151" s="381">
        <f t="shared" si="61"/>
        <v>0</v>
      </c>
      <c r="J151" s="54">
        <f t="shared" si="40"/>
        <v>0</v>
      </c>
      <c r="K151" s="54"/>
      <c r="L151" s="115"/>
      <c r="M151" s="54">
        <f t="shared" si="63"/>
        <v>0</v>
      </c>
      <c r="N151" s="115"/>
      <c r="O151" s="54">
        <f t="shared" si="64"/>
        <v>0</v>
      </c>
      <c r="P151" s="54">
        <f t="shared" si="65"/>
        <v>0</v>
      </c>
    </row>
    <row r="152" spans="2:16" ht="12.5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7"/>
        <v>0</v>
      </c>
      <c r="F152" s="55">
        <f t="shared" si="58"/>
        <v>0</v>
      </c>
      <c r="G152" s="55">
        <f t="shared" si="59"/>
        <v>0</v>
      </c>
      <c r="H152" s="356">
        <f t="shared" si="60"/>
        <v>0</v>
      </c>
      <c r="I152" s="381">
        <f t="shared" si="61"/>
        <v>0</v>
      </c>
      <c r="J152" s="54">
        <f t="shared" si="40"/>
        <v>0</v>
      </c>
      <c r="K152" s="54"/>
      <c r="L152" s="115"/>
      <c r="M152" s="54">
        <f t="shared" si="63"/>
        <v>0</v>
      </c>
      <c r="N152" s="115"/>
      <c r="O152" s="54">
        <f t="shared" si="64"/>
        <v>0</v>
      </c>
      <c r="P152" s="54">
        <f t="shared" si="65"/>
        <v>0</v>
      </c>
    </row>
    <row r="153" spans="2:16" ht="12.5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7"/>
        <v>0</v>
      </c>
      <c r="F153" s="55">
        <f t="shared" si="58"/>
        <v>0</v>
      </c>
      <c r="G153" s="55">
        <f t="shared" si="59"/>
        <v>0</v>
      </c>
      <c r="H153" s="356">
        <f t="shared" si="60"/>
        <v>0</v>
      </c>
      <c r="I153" s="381">
        <f t="shared" si="61"/>
        <v>0</v>
      </c>
      <c r="J153" s="54">
        <f t="shared" si="40"/>
        <v>0</v>
      </c>
      <c r="K153" s="54"/>
      <c r="L153" s="115"/>
      <c r="M153" s="54">
        <f t="shared" si="63"/>
        <v>0</v>
      </c>
      <c r="N153" s="115"/>
      <c r="O153" s="54">
        <f t="shared" si="64"/>
        <v>0</v>
      </c>
      <c r="P153" s="54">
        <f t="shared" si="65"/>
        <v>0</v>
      </c>
    </row>
    <row r="154" spans="2:16" ht="13" thickBot="1">
      <c r="B154" s="7" t="str">
        <f t="shared" si="39"/>
        <v/>
      </c>
      <c r="C154" s="58">
        <f>IF(D93="","-",+C153+1)</f>
        <v>2069</v>
      </c>
      <c r="D154" s="12">
        <f>IF(F153+SUM(E$99:E153)=D$92,F153,D$92-SUM(E$99:E153))</f>
        <v>0</v>
      </c>
      <c r="E154" s="354">
        <f t="shared" si="57"/>
        <v>0</v>
      </c>
      <c r="F154" s="55">
        <f t="shared" si="58"/>
        <v>0</v>
      </c>
      <c r="G154" s="55">
        <f t="shared" si="59"/>
        <v>0</v>
      </c>
      <c r="H154" s="356">
        <f t="shared" si="60"/>
        <v>0</v>
      </c>
      <c r="I154" s="381">
        <f t="shared" si="61"/>
        <v>0</v>
      </c>
      <c r="J154" s="54">
        <f t="shared" si="40"/>
        <v>0</v>
      </c>
      <c r="K154" s="54"/>
      <c r="L154" s="116"/>
      <c r="M154" s="62">
        <f t="shared" si="63"/>
        <v>0</v>
      </c>
      <c r="N154" s="116"/>
      <c r="O154" s="62">
        <f t="shared" si="64"/>
        <v>0</v>
      </c>
      <c r="P154" s="62">
        <f t="shared" si="65"/>
        <v>0</v>
      </c>
    </row>
    <row r="155" spans="2:16" ht="12.5">
      <c r="C155" s="12" t="s">
        <v>77</v>
      </c>
      <c r="D155" s="267"/>
      <c r="E155" s="267">
        <f>SUM(E99:E154)</f>
        <v>5059278</v>
      </c>
      <c r="F155" s="267"/>
      <c r="G155" s="267"/>
      <c r="H155" s="267">
        <f>SUM(H99:H154)</f>
        <v>18080007.539519392</v>
      </c>
      <c r="I155" s="267">
        <f>SUM(I99:I154)</f>
        <v>18080007.539519392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F1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16.1796875" customWidth="1"/>
    <col min="10" max="10" width="2.179687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.54296875" bestFit="1" customWidth="1"/>
    <col min="17" max="17" width="4.7265625" customWidth="1"/>
    <col min="18" max="18" width="15.453125" customWidth="1"/>
    <col min="19" max="19" width="81.81640625" bestFit="1" customWidth="1"/>
    <col min="23" max="23" width="9.1796875" customWidth="1"/>
  </cols>
  <sheetData>
    <row r="1" spans="1:18" ht="17.5">
      <c r="A1" s="486" t="s">
        <v>123</v>
      </c>
      <c r="B1" s="487"/>
      <c r="C1" s="487"/>
      <c r="D1" s="487"/>
      <c r="E1" s="487"/>
      <c r="F1" s="487"/>
      <c r="G1" s="487"/>
      <c r="H1" s="487"/>
      <c r="I1" s="487"/>
      <c r="J1" s="487"/>
    </row>
    <row r="2" spans="1:18" ht="17.5">
      <c r="A2" s="488" t="str">
        <f>L19&amp;" Cost of Service Formula Rate Projected on "&amp;L19&amp;" FF1 Balances"</f>
        <v>2026 Cost of Service Formula Rate Projected on 2026 FF1 Balances</v>
      </c>
      <c r="B2" s="488"/>
      <c r="C2" s="488"/>
      <c r="D2" s="488"/>
      <c r="E2" s="488"/>
      <c r="F2" s="488"/>
      <c r="G2" s="488"/>
      <c r="H2" s="488"/>
      <c r="I2" s="488"/>
      <c r="J2" s="488"/>
    </row>
    <row r="3" spans="1:18" ht="18">
      <c r="A3" s="489" t="s">
        <v>140</v>
      </c>
      <c r="B3" s="488"/>
      <c r="C3" s="488"/>
      <c r="D3" s="488"/>
      <c r="E3" s="488"/>
      <c r="F3" s="488"/>
      <c r="G3" s="488"/>
      <c r="H3" s="488"/>
      <c r="I3" s="488"/>
      <c r="J3" s="488"/>
      <c r="Q3" s="91" t="s">
        <v>125</v>
      </c>
    </row>
    <row r="4" spans="1:18" ht="17.5">
      <c r="A4" s="488" t="str">
        <f>"Based on a Carrying Charge Derived from ""Historic"" "&amp;L19&amp;" Data"</f>
        <v>Based on a Carrying Charge Derived from "Historic" 2026 Data</v>
      </c>
      <c r="B4" s="488"/>
      <c r="C4" s="488"/>
      <c r="D4" s="488"/>
      <c r="E4" s="488"/>
      <c r="F4" s="488"/>
      <c r="G4" s="488"/>
      <c r="H4" s="488"/>
      <c r="I4" s="488"/>
      <c r="J4" s="488"/>
    </row>
    <row r="5" spans="1:18" ht="18">
      <c r="A5" s="490" t="s">
        <v>124</v>
      </c>
      <c r="B5" s="490"/>
      <c r="C5" s="490"/>
      <c r="D5" s="490"/>
      <c r="E5" s="490"/>
      <c r="F5" s="490"/>
      <c r="G5" s="490"/>
      <c r="H5" s="490"/>
      <c r="I5" s="490"/>
      <c r="J5" s="490"/>
    </row>
    <row r="6" spans="1:18" ht="12.5">
      <c r="A6" s="1"/>
      <c r="B6" s="1"/>
      <c r="C6" s="1"/>
      <c r="D6" s="2"/>
      <c r="E6" s="1"/>
      <c r="F6" s="1"/>
      <c r="G6" s="1"/>
      <c r="H6" s="202"/>
      <c r="I6" s="1"/>
      <c r="J6" s="1"/>
    </row>
    <row r="7" spans="1:18" ht="12.5">
      <c r="D7" s="7"/>
      <c r="H7" s="182"/>
    </row>
    <row r="8" spans="1:18" ht="38.25" customHeight="1">
      <c r="B8" s="203" t="s">
        <v>0</v>
      </c>
      <c r="C8" s="483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84"/>
      <c r="E8" s="484"/>
      <c r="F8" s="484"/>
      <c r="G8" s="484"/>
      <c r="H8" s="484"/>
      <c r="R8" s="197"/>
    </row>
    <row r="9" spans="1:18" ht="12.5">
      <c r="D9" s="7"/>
      <c r="H9" s="182"/>
    </row>
    <row r="10" spans="1:18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182"/>
      <c r="K10" s="204"/>
      <c r="L10" s="205"/>
    </row>
    <row r="11" spans="1:18" ht="12.5">
      <c r="D11" s="7"/>
      <c r="H11" s="182"/>
    </row>
    <row r="12" spans="1:18" ht="12.5">
      <c r="C12" s="206" t="str">
        <f>S105</f>
        <v xml:space="preserve">   ROE w/o incentives  (TCOS, ln 143)</v>
      </c>
      <c r="D12" s="7"/>
      <c r="E12" s="207"/>
      <c r="F12" s="208">
        <v>0.105</v>
      </c>
      <c r="G12" s="209"/>
      <c r="H12" s="210"/>
      <c r="I12" s="211"/>
      <c r="J12" s="211"/>
      <c r="K12" s="211"/>
      <c r="L12" s="211"/>
      <c r="M12" s="211"/>
      <c r="N12" s="211"/>
      <c r="O12" s="207"/>
      <c r="P12" s="211"/>
      <c r="Q12" s="1"/>
    </row>
    <row r="13" spans="1:18" ht="12.5">
      <c r="C13" s="206" t="s">
        <v>1</v>
      </c>
      <c r="D13" s="7"/>
      <c r="E13" s="207"/>
      <c r="F13" s="212">
        <f>+R106</f>
        <v>0</v>
      </c>
      <c r="G13" t="s">
        <v>152</v>
      </c>
      <c r="K13" s="211"/>
      <c r="L13" s="211"/>
      <c r="M13" s="211"/>
      <c r="N13" s="211"/>
      <c r="O13" s="207"/>
      <c r="P13" s="211"/>
      <c r="Q13" s="1"/>
    </row>
    <row r="14" spans="1:18" ht="13.5" thickBot="1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0.105</v>
      </c>
      <c r="G14" s="214" t="s">
        <v>2</v>
      </c>
      <c r="H14" s="211"/>
      <c r="I14" s="211"/>
      <c r="J14" s="211"/>
      <c r="K14" s="211"/>
      <c r="L14" s="211"/>
      <c r="M14" s="211"/>
      <c r="N14" s="211"/>
      <c r="O14" s="207"/>
      <c r="P14" s="211"/>
      <c r="Q14" s="1"/>
    </row>
    <row r="15" spans="1:18" ht="12.5">
      <c r="C15" s="206" t="s">
        <v>231</v>
      </c>
      <c r="D15" s="7"/>
      <c r="E15" s="207"/>
      <c r="F15" s="213"/>
      <c r="G15" s="207"/>
      <c r="H15" s="211"/>
      <c r="I15" s="211"/>
      <c r="J15" s="211"/>
      <c r="K15" s="477" t="s">
        <v>3</v>
      </c>
      <c r="L15" s="478"/>
      <c r="M15" s="478"/>
      <c r="N15" s="478"/>
      <c r="O15" s="479"/>
      <c r="P15" s="211"/>
      <c r="Q15" s="1"/>
    </row>
    <row r="16" spans="1:18" ht="12.5">
      <c r="C16" s="211"/>
      <c r="D16" s="215" t="s">
        <v>4</v>
      </c>
      <c r="E16" s="215" t="s">
        <v>5</v>
      </c>
      <c r="F16" s="216" t="s">
        <v>6</v>
      </c>
      <c r="G16" s="207"/>
      <c r="H16" s="211"/>
      <c r="I16" s="211"/>
      <c r="J16" s="211"/>
      <c r="K16" s="480"/>
      <c r="L16" s="481"/>
      <c r="M16" s="481"/>
      <c r="N16" s="481"/>
      <c r="O16" s="482"/>
      <c r="P16" s="211"/>
      <c r="Q16" s="1"/>
    </row>
    <row r="17" spans="3:17" ht="12.5">
      <c r="C17" s="217" t="s">
        <v>7</v>
      </c>
      <c r="D17" s="218">
        <f>+R107</f>
        <v>0.47641626862241743</v>
      </c>
      <c r="E17" s="219">
        <f>+R108</f>
        <v>4.7051485789181668E-2</v>
      </c>
      <c r="F17" s="220">
        <f>E17*D17</f>
        <v>2.2416093292822629E-2</v>
      </c>
      <c r="G17" s="207"/>
      <c r="H17" s="211"/>
      <c r="I17" s="221"/>
      <c r="J17" s="221"/>
      <c r="K17" s="222"/>
      <c r="L17" s="223"/>
      <c r="M17" s="211" t="s">
        <v>8</v>
      </c>
      <c r="N17" s="211" t="s">
        <v>9</v>
      </c>
      <c r="O17" s="224" t="s">
        <v>10</v>
      </c>
      <c r="P17" s="211"/>
      <c r="Q17" s="1"/>
    </row>
    <row r="18" spans="3:17" ht="12.5">
      <c r="C18" s="217" t="s">
        <v>11</v>
      </c>
      <c r="D18" s="218">
        <f>+R109</f>
        <v>0</v>
      </c>
      <c r="E18" s="219">
        <f>+R110</f>
        <v>0</v>
      </c>
      <c r="F18" s="220">
        <f>E18*D18</f>
        <v>0</v>
      </c>
      <c r="G18" s="225"/>
      <c r="H18" s="225"/>
      <c r="I18" s="226"/>
      <c r="J18" s="226"/>
      <c r="K18" s="227"/>
      <c r="O18" s="228"/>
      <c r="P18" s="225"/>
      <c r="Q18" s="1"/>
    </row>
    <row r="19" spans="3:17" ht="13" thickBot="1">
      <c r="C19" s="217" t="s">
        <v>12</v>
      </c>
      <c r="D19" s="218">
        <f>+R111</f>
        <v>0.52358373137758252</v>
      </c>
      <c r="E19" s="219">
        <f>+F14</f>
        <v>0.105</v>
      </c>
      <c r="F19" s="229">
        <f>E19*D19</f>
        <v>5.4976291794646165E-2</v>
      </c>
      <c r="G19" s="225"/>
      <c r="H19" s="225"/>
      <c r="I19" s="213"/>
      <c r="J19" s="226"/>
      <c r="K19" s="230" t="s">
        <v>13</v>
      </c>
      <c r="L19" s="231">
        <f>R104</f>
        <v>2026</v>
      </c>
      <c r="M19" s="232">
        <f>SUM(P.001:P.037!N5)</f>
        <v>10760192.392574767</v>
      </c>
      <c r="N19" s="232">
        <f>SUM(P.001:P.037!N6)</f>
        <v>10760192.392574767</v>
      </c>
      <c r="O19" s="233">
        <f>+N19-M19</f>
        <v>0</v>
      </c>
      <c r="P19" s="226"/>
      <c r="Q19" s="1"/>
    </row>
    <row r="20" spans="3:17" ht="12.5">
      <c r="C20" s="206"/>
      <c r="D20" s="207"/>
      <c r="E20" s="234" t="s">
        <v>14</v>
      </c>
      <c r="F20" s="220">
        <f>SUM(F17:F19)</f>
        <v>7.739238508746879E-2</v>
      </c>
      <c r="G20" s="225"/>
      <c r="H20" s="225"/>
      <c r="I20" s="226"/>
      <c r="J20" s="226"/>
      <c r="M20" s="235" t="str">
        <f>IF(M19=SUM(P.001:P.037!N5),"","ERROR")</f>
        <v/>
      </c>
      <c r="N20" s="235" t="str">
        <f>IF(N19=SUM(P.001:P.037!N6),"","ERROR")</f>
        <v/>
      </c>
      <c r="O20" s="235" t="str">
        <f>IF(O19=SUM(P.001:P.035!N7),"","ERROR")</f>
        <v/>
      </c>
      <c r="P20" s="225"/>
      <c r="Q20" s="1"/>
    </row>
    <row r="21" spans="3:17" ht="13">
      <c r="D21" s="236"/>
      <c r="E21" s="236"/>
      <c r="F21" s="225"/>
      <c r="G21" s="225"/>
      <c r="H21" s="225"/>
      <c r="I21" s="225"/>
      <c r="J21" s="225"/>
      <c r="K21" s="26" t="s">
        <v>15</v>
      </c>
      <c r="P21" s="225"/>
      <c r="Q21" s="1"/>
    </row>
    <row r="22" spans="3:17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6"/>
      <c r="E22" s="236"/>
      <c r="F22" s="225"/>
      <c r="G22" s="225"/>
      <c r="H22" s="207"/>
      <c r="I22" s="225"/>
      <c r="J22" s="225"/>
      <c r="K22" t="s">
        <v>16</v>
      </c>
      <c r="P22" s="225"/>
      <c r="Q22" s="1"/>
    </row>
    <row r="23" spans="3:17" ht="12.5">
      <c r="C23" s="211"/>
      <c r="D23" s="236"/>
      <c r="E23" s="236"/>
      <c r="F23" s="225"/>
      <c r="G23" s="225"/>
      <c r="H23" s="225"/>
      <c r="I23" s="225"/>
      <c r="J23" s="225"/>
      <c r="K23" s="226"/>
      <c r="L23" s="223"/>
      <c r="M23" s="199"/>
      <c r="N23" s="226"/>
      <c r="O23" s="225"/>
      <c r="P23" s="225"/>
      <c r="Q23" s="1"/>
    </row>
    <row r="24" spans="3:17" ht="12.5">
      <c r="C24" s="206" t="str">
        <f>+S112</f>
        <v xml:space="preserve">   Rate Base  (TCOS, ln 63)</v>
      </c>
      <c r="D24" s="207"/>
      <c r="E24" s="237">
        <f>+R112</f>
        <v>874038735.34467185</v>
      </c>
      <c r="F24" s="238"/>
      <c r="G24" s="225"/>
      <c r="H24" s="225"/>
      <c r="I24" s="225"/>
      <c r="J24" s="225"/>
      <c r="K24" s="225"/>
      <c r="L24" s="225"/>
      <c r="M24" s="225"/>
      <c r="N24" s="225"/>
      <c r="O24" s="225"/>
      <c r="P24" s="238"/>
      <c r="Q24" s="1"/>
    </row>
    <row r="25" spans="3:17" ht="12.5">
      <c r="C25" s="211" t="s">
        <v>17</v>
      </c>
      <c r="D25" s="209"/>
      <c r="E25" s="239">
        <f>F20</f>
        <v>7.739238508746879E-2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1"/>
    </row>
    <row r="26" spans="3:17" ht="12.5">
      <c r="C26" s="240" t="s">
        <v>18</v>
      </c>
      <c r="D26" s="240"/>
      <c r="E26" s="226">
        <f>E24*E25</f>
        <v>67643942.387159064</v>
      </c>
      <c r="F26" s="225"/>
      <c r="G26" s="225"/>
      <c r="H26" s="225"/>
      <c r="I26" s="226"/>
      <c r="J26" s="226"/>
      <c r="K26" s="226"/>
      <c r="L26" s="226"/>
      <c r="M26" s="225"/>
      <c r="N26" s="226"/>
      <c r="O26" s="225"/>
      <c r="P26" s="225"/>
      <c r="Q26" s="1"/>
    </row>
    <row r="27" spans="3:17" ht="12.5">
      <c r="C27" s="240"/>
      <c r="D27" s="211"/>
      <c r="E27" s="211"/>
      <c r="F27" s="225"/>
      <c r="G27" s="225"/>
      <c r="H27" s="225"/>
      <c r="I27" s="226"/>
      <c r="J27" s="226"/>
      <c r="K27" s="226"/>
      <c r="L27" s="226"/>
      <c r="M27" s="225"/>
      <c r="N27" s="226"/>
      <c r="O27" s="225"/>
      <c r="P27" s="225"/>
      <c r="Q27" s="1"/>
    </row>
    <row r="28" spans="3:17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1"/>
      <c r="E28" s="241"/>
      <c r="F28" s="242"/>
      <c r="G28" s="242"/>
      <c r="H28" s="242"/>
      <c r="I28" s="243"/>
      <c r="J28" s="243"/>
      <c r="K28" s="243"/>
      <c r="L28" s="243"/>
      <c r="M28" s="225"/>
      <c r="N28" s="243"/>
      <c r="O28" s="242"/>
      <c r="P28" s="242"/>
      <c r="Q28" s="1"/>
    </row>
    <row r="29" spans="3:17" ht="12.5">
      <c r="C29" s="206"/>
      <c r="D29" s="211"/>
      <c r="E29" s="211"/>
      <c r="F29" s="225"/>
      <c r="G29" s="225"/>
      <c r="H29" s="225"/>
      <c r="I29" s="226"/>
      <c r="J29" s="226"/>
      <c r="K29" s="226"/>
      <c r="L29" s="226"/>
      <c r="M29" s="225"/>
      <c r="N29" s="226"/>
      <c r="O29" s="225"/>
      <c r="P29" s="225"/>
      <c r="Q29" s="1"/>
    </row>
    <row r="30" spans="3:17" ht="12.5">
      <c r="C30" s="211" t="s">
        <v>19</v>
      </c>
      <c r="D30" s="234"/>
      <c r="E30" s="238">
        <f>E26</f>
        <v>67643942.387159064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1"/>
    </row>
    <row r="31" spans="3:17" ht="12.5">
      <c r="C31" s="206" t="str">
        <f>+S113</f>
        <v xml:space="preserve">   Tax Rate  (TCOS, ln 99)</v>
      </c>
      <c r="D31" s="234"/>
      <c r="E31" s="8">
        <f>+R113</f>
        <v>0.24136299999999988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1"/>
    </row>
    <row r="32" spans="3:17" ht="12.5">
      <c r="C32" s="211" t="s">
        <v>20</v>
      </c>
      <c r="D32" s="2"/>
      <c r="E32" s="213">
        <f>IF(F17&gt;0,($E31/(1-$E31))*(1-$F17/$F20),0)</f>
        <v>0.22600283497861623</v>
      </c>
      <c r="F32" s="1"/>
      <c r="G32" s="213"/>
      <c r="H32" s="202"/>
      <c r="I32" s="1"/>
      <c r="J32" s="1"/>
      <c r="K32" s="1"/>
      <c r="L32" s="1"/>
      <c r="M32" s="1"/>
      <c r="N32" s="1"/>
      <c r="O32" s="1"/>
      <c r="P32" s="1"/>
      <c r="Q32" s="1"/>
    </row>
    <row r="33" spans="2:19" ht="12.5">
      <c r="C33" s="240" t="s">
        <v>21</v>
      </c>
      <c r="D33" s="2"/>
      <c r="E33" s="244">
        <f>E30*E32</f>
        <v>15287722.748628134</v>
      </c>
      <c r="F33" s="244"/>
      <c r="G33" s="1"/>
      <c r="H33" s="202"/>
      <c r="I33" s="1"/>
      <c r="J33" s="1"/>
      <c r="K33" s="1"/>
      <c r="L33" s="1"/>
      <c r="M33" s="1"/>
      <c r="N33" s="1"/>
      <c r="O33" s="1"/>
      <c r="P33" s="1"/>
      <c r="Q33" s="1"/>
    </row>
    <row r="34" spans="2:19" ht="15.5">
      <c r="C34" s="206" t="str">
        <f>+S114</f>
        <v xml:space="preserve">   ITC Adjustment  (TCOS, ln 108)</v>
      </c>
      <c r="D34" s="245"/>
      <c r="E34" s="225">
        <f>+R114</f>
        <v>188536.76489427828</v>
      </c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6"/>
      <c r="Q34" s="245"/>
    </row>
    <row r="35" spans="2:19" ht="15.5">
      <c r="C35" s="206" t="str">
        <f>+S115</f>
        <v xml:space="preserve">   Excess DFIT Adjustment  (TCOS, ln 109)</v>
      </c>
      <c r="D35" s="245"/>
      <c r="E35" s="225">
        <f>+R115</f>
        <v>-1668949.4743433837</v>
      </c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6"/>
      <c r="Q35" s="245"/>
    </row>
    <row r="36" spans="2:19" ht="15.5">
      <c r="C36" s="206" t="str">
        <f>+S116</f>
        <v xml:space="preserve">   Tax Effect of Permanent and Flow Through Differences  (TCOS, ln 110)</v>
      </c>
      <c r="D36" s="245"/>
      <c r="E36" s="225">
        <f>+R116</f>
        <v>100044.35871204591</v>
      </c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6"/>
      <c r="Q36" s="245"/>
    </row>
    <row r="37" spans="2:19" ht="15.5">
      <c r="C37" s="240" t="s">
        <v>22</v>
      </c>
      <c r="D37" s="245"/>
      <c r="E37" s="225">
        <f>E33+E34+E35+E36</f>
        <v>13907354.397891074</v>
      </c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7"/>
      <c r="Q37" s="245"/>
    </row>
    <row r="38" spans="2:19" ht="12.75" customHeight="1">
      <c r="C38" s="248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7"/>
      <c r="Q38" s="245"/>
      <c r="R38" s="1"/>
      <c r="S38" s="1"/>
    </row>
    <row r="39" spans="2:19" ht="18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7"/>
      <c r="Q39" s="245"/>
      <c r="R39" s="1"/>
      <c r="S39" s="1"/>
    </row>
    <row r="40" spans="2:19" ht="15.75" customHeight="1">
      <c r="B40" s="4"/>
      <c r="C40" s="10" t="str">
        <f>"ROE increase."</f>
        <v>ROE increase.</v>
      </c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7"/>
      <c r="Q40" s="245"/>
      <c r="R40" s="1"/>
      <c r="S40" s="1"/>
    </row>
    <row r="41" spans="2:19" ht="12.75" customHeight="1">
      <c r="C41" s="248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7"/>
      <c r="Q41" s="245"/>
      <c r="R41" s="1"/>
      <c r="S41" s="1"/>
    </row>
    <row r="42" spans="2:19" ht="15.5">
      <c r="C42" s="6" t="s">
        <v>24</v>
      </c>
      <c r="D42" s="245"/>
      <c r="E42" s="245"/>
      <c r="F42" s="248"/>
      <c r="G42" s="245"/>
      <c r="H42" s="245"/>
      <c r="I42" s="245"/>
      <c r="J42" s="245"/>
      <c r="K42" s="245"/>
      <c r="L42" s="245"/>
      <c r="M42" s="245"/>
      <c r="N42" s="245"/>
      <c r="O42" s="245"/>
      <c r="P42" s="247"/>
      <c r="Q42" s="245"/>
      <c r="R42" s="1"/>
      <c r="S42" s="1"/>
    </row>
    <row r="43" spans="2:19" ht="12.5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+S117</f>
        <v xml:space="preserve">   Net Revenue Requirement  (TCOS, ln 117)</v>
      </c>
      <c r="D44" s="207"/>
      <c r="E44" s="207"/>
      <c r="F44" s="225">
        <f>+R117</f>
        <v>149874457.99685794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 ht="12.5">
      <c r="B45" s="1"/>
      <c r="C45" s="206" t="str">
        <f>+S118</f>
        <v xml:space="preserve">   Return  (TCOS, ln 112)</v>
      </c>
      <c r="D45" s="207"/>
      <c r="E45" s="207"/>
      <c r="F45" s="226">
        <f>+R118</f>
        <v>67643942.387159064</v>
      </c>
      <c r="G45" s="206"/>
      <c r="H45" s="206"/>
      <c r="I45" s="206"/>
      <c r="J45" s="206"/>
      <c r="K45" s="206"/>
      <c r="L45" s="206"/>
      <c r="M45" s="206"/>
      <c r="N45" s="206"/>
      <c r="O45" s="206"/>
      <c r="P45" s="225"/>
      <c r="Q45" s="207"/>
      <c r="R45" s="1"/>
      <c r="S45" s="1"/>
    </row>
    <row r="46" spans="2:19" ht="12.5">
      <c r="B46" s="1"/>
      <c r="C46" s="206" t="str">
        <f>+S119</f>
        <v xml:space="preserve">   Income Taxes  (TCOS, ln 111)</v>
      </c>
      <c r="D46" s="207"/>
      <c r="E46" s="207"/>
      <c r="F46" s="225">
        <f>+R119</f>
        <v>13907354.397891074</v>
      </c>
      <c r="G46" s="207"/>
      <c r="H46" s="207"/>
      <c r="I46" s="249"/>
      <c r="J46" s="249"/>
      <c r="K46" s="249"/>
      <c r="L46" s="249"/>
      <c r="M46" s="249"/>
      <c r="N46" s="249"/>
      <c r="O46" s="207"/>
      <c r="P46" s="207"/>
      <c r="Q46" s="207"/>
      <c r="R46" s="1"/>
      <c r="S46" s="1"/>
    </row>
    <row r="47" spans="2:19" ht="12.5">
      <c r="B47" s="1"/>
      <c r="C47" s="206" t="str">
        <f>+S120</f>
        <v xml:space="preserve">  Gross Margin Taxes  (TCOS, ln 116)</v>
      </c>
      <c r="D47" s="207"/>
      <c r="E47" s="207"/>
      <c r="F47" s="250">
        <f>+R120</f>
        <v>0</v>
      </c>
      <c r="G47" s="207"/>
      <c r="H47" s="207"/>
      <c r="I47" s="249"/>
      <c r="J47" s="249"/>
      <c r="K47" s="249"/>
      <c r="L47" s="249"/>
      <c r="M47" s="249"/>
      <c r="N47" s="249"/>
      <c r="O47" s="207"/>
      <c r="P47" s="207"/>
      <c r="Q47" s="207"/>
      <c r="R47" s="1"/>
      <c r="S47" s="1"/>
    </row>
    <row r="48" spans="2:19" ht="12.5">
      <c r="B48" s="1"/>
      <c r="C48" s="1" t="s">
        <v>25</v>
      </c>
      <c r="D48" s="207"/>
      <c r="E48" s="207"/>
      <c r="F48" s="226">
        <f>F44-F45-F46-F47</f>
        <v>68323161.211807802</v>
      </c>
      <c r="G48" s="223"/>
      <c r="H48" s="207"/>
      <c r="I48" s="223"/>
      <c r="J48" s="223"/>
      <c r="K48" s="223"/>
      <c r="L48" s="223"/>
      <c r="M48" s="223"/>
      <c r="N48" s="223"/>
      <c r="O48" s="207"/>
      <c r="P48" s="223"/>
      <c r="Q48" s="207"/>
      <c r="R48" s="1"/>
      <c r="S48" s="1"/>
    </row>
    <row r="49" spans="2:19" ht="12.5">
      <c r="B49" s="1"/>
      <c r="C49" s="206"/>
      <c r="D49" s="207"/>
      <c r="E49" s="207"/>
      <c r="F49" s="225"/>
      <c r="G49" s="208"/>
      <c r="H49" s="220"/>
      <c r="I49" s="220"/>
      <c r="J49" s="220"/>
      <c r="K49" s="220"/>
      <c r="L49" s="220"/>
      <c r="M49" s="220"/>
      <c r="N49" s="220"/>
      <c r="O49" s="211"/>
      <c r="P49" s="220"/>
      <c r="Q49" s="251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08"/>
      <c r="H50" s="220"/>
      <c r="I50" s="220"/>
      <c r="J50" s="220"/>
      <c r="K50" s="220"/>
      <c r="L50" s="220"/>
      <c r="M50" s="220"/>
      <c r="N50" s="220"/>
      <c r="O50" s="211"/>
      <c r="P50" s="220"/>
      <c r="Q50" s="207"/>
    </row>
    <row r="51" spans="2:19" ht="12.5">
      <c r="B51" s="1"/>
      <c r="C51" s="206"/>
      <c r="D51" s="211"/>
      <c r="E51" s="211"/>
      <c r="F51" s="225"/>
      <c r="G51" s="208"/>
      <c r="H51" s="220"/>
      <c r="I51" s="220"/>
      <c r="J51" s="220"/>
      <c r="K51" s="220"/>
      <c r="L51" s="220"/>
      <c r="M51" s="220"/>
      <c r="N51" s="220"/>
      <c r="O51" s="211"/>
      <c r="P51" s="220"/>
      <c r="Q51" s="207"/>
    </row>
    <row r="52" spans="2:19" ht="13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68323161.211807802</v>
      </c>
      <c r="G52" s="207"/>
      <c r="H52" s="207"/>
      <c r="I52" s="207"/>
      <c r="J52" s="207"/>
      <c r="K52" s="207"/>
      <c r="L52" s="207"/>
      <c r="M52" s="207"/>
      <c r="N52" s="207"/>
      <c r="O52" s="252"/>
      <c r="P52" s="253"/>
      <c r="Q52" s="254"/>
    </row>
    <row r="53" spans="2:19" ht="13">
      <c r="B53" s="1"/>
      <c r="C53" s="211" t="s">
        <v>103</v>
      </c>
      <c r="D53" s="2"/>
      <c r="E53" s="1"/>
      <c r="F53" s="244">
        <f>E26</f>
        <v>67643942.387159064</v>
      </c>
      <c r="G53" s="1"/>
      <c r="H53" s="255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06" t="s">
        <v>26</v>
      </c>
      <c r="D54" s="207"/>
      <c r="E54" s="207"/>
      <c r="F54" s="256">
        <f>E37</f>
        <v>13907354.397891074</v>
      </c>
      <c r="G54" s="1"/>
      <c r="H54" s="202"/>
      <c r="I54" s="1"/>
      <c r="J54" s="1"/>
      <c r="K54" s="1"/>
      <c r="L54" s="1"/>
      <c r="M54" s="1"/>
      <c r="N54" s="1"/>
      <c r="O54" s="1"/>
      <c r="P54" s="1"/>
      <c r="Q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4">
        <f>SUM(F52:F54)</f>
        <v>149874457.99685794</v>
      </c>
      <c r="G55" s="1"/>
      <c r="H55" s="20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7">
        <f>+F71</f>
        <v>0</v>
      </c>
      <c r="G56" s="1"/>
      <c r="H56" s="20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27</v>
      </c>
      <c r="D57" s="2"/>
      <c r="E57" s="1"/>
      <c r="F57" s="244">
        <f>+F55+F56</f>
        <v>149874457.99685794</v>
      </c>
      <c r="G57" s="1"/>
      <c r="H57" s="20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06" t="str">
        <f>+S121</f>
        <v xml:space="preserve">   Less: Depreciation  (TCOS, ln 86)</v>
      </c>
      <c r="D58" s="2"/>
      <c r="E58" s="1"/>
      <c r="F58" s="258">
        <f>+R121</f>
        <v>32874542.328941975</v>
      </c>
      <c r="G58" s="1"/>
      <c r="H58" s="20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4">
        <f>F57-F58</f>
        <v>116999915.66791597</v>
      </c>
      <c r="G59" s="1"/>
      <c r="H59" s="20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20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4"/>
      <c r="G61" s="1"/>
      <c r="H61" s="25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4">
        <f>+F55</f>
        <v>149874457.99685794</v>
      </c>
      <c r="G62" s="1"/>
      <c r="H62" s="25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28</v>
      </c>
      <c r="F63" s="244"/>
      <c r="G63" s="1"/>
      <c r="H63" s="25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+S122</f>
        <v xml:space="preserve">       Apportionment Factor to Texas (Worksheet K, ln 12)</v>
      </c>
      <c r="D64" s="2"/>
      <c r="E64" s="1"/>
      <c r="F64" s="260">
        <f>+R122</f>
        <v>0</v>
      </c>
      <c r="G64" s="1"/>
      <c r="H64" s="25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29</v>
      </c>
      <c r="D65" s="2"/>
      <c r="E65" s="1"/>
      <c r="F65" s="244">
        <f>+F62*F64</f>
        <v>0</v>
      </c>
      <c r="G65" s="1"/>
      <c r="H65" s="25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">
        <v>288</v>
      </c>
      <c r="D66" s="2"/>
      <c r="E66" s="1"/>
      <c r="F66" s="261">
        <v>0.22</v>
      </c>
      <c r="G66" s="1"/>
      <c r="H66" s="25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30</v>
      </c>
      <c r="D67" s="2"/>
      <c r="E67" s="1"/>
      <c r="F67" s="244">
        <f>+F65*F66</f>
        <v>0</v>
      </c>
      <c r="G67" s="1"/>
      <c r="H67" s="25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31</v>
      </c>
      <c r="D68" s="2"/>
      <c r="E68" s="1"/>
      <c r="F68" s="261">
        <v>0.01</v>
      </c>
      <c r="G68" s="1"/>
      <c r="H68" s="25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32</v>
      </c>
      <c r="D69" s="2"/>
      <c r="E69" s="1"/>
      <c r="F69" s="244">
        <f>+F67*F68</f>
        <v>0</v>
      </c>
      <c r="G69" s="1"/>
      <c r="H69" s="25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33</v>
      </c>
      <c r="D70" s="2"/>
      <c r="E70" s="1"/>
      <c r="F70" s="262">
        <f>+ROUND((F69*F66*F64)/(1-F68)*F68,0)</f>
        <v>0</v>
      </c>
      <c r="G70" s="1"/>
      <c r="H70" s="25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34</v>
      </c>
      <c r="D71" s="2"/>
      <c r="E71" s="1"/>
      <c r="F71" s="244">
        <f>+F69+F70</f>
        <v>0</v>
      </c>
      <c r="G71" s="1"/>
      <c r="H71" s="25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20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0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20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06" t="str">
        <f>+S123</f>
        <v xml:space="preserve">   Net Transmission Plant  (TCOS, ln 37)</v>
      </c>
      <c r="D75" s="2"/>
      <c r="E75" s="1"/>
      <c r="F75" s="244">
        <f>+R123</f>
        <v>996569158.92307699</v>
      </c>
      <c r="G75" s="204"/>
      <c r="H75" s="182"/>
      <c r="P75" s="1"/>
      <c r="Q75" s="1"/>
      <c r="R75" s="1"/>
      <c r="S75" s="1"/>
    </row>
    <row r="76" spans="2:19" ht="12.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57">
        <f>F55</f>
        <v>149874457.99685794</v>
      </c>
      <c r="H76" s="182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0.15039042363985741</v>
      </c>
      <c r="H77" s="182"/>
      <c r="P77" s="1"/>
      <c r="Q77" s="1"/>
      <c r="R77" s="1"/>
      <c r="S77" s="1"/>
    </row>
    <row r="78" spans="2:19" ht="12.5">
      <c r="B78" s="1"/>
      <c r="D78" s="2"/>
      <c r="E78" s="1"/>
      <c r="F78" s="1"/>
      <c r="H78" s="182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4">
        <f>F59</f>
        <v>116999915.66791597</v>
      </c>
      <c r="G79" s="204"/>
      <c r="H79" s="182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0.11740270569314994</v>
      </c>
      <c r="G80" s="8"/>
      <c r="H80" s="182"/>
      <c r="P80" s="1"/>
      <c r="Q80" s="1"/>
      <c r="R80" s="1"/>
      <c r="S80" s="1"/>
    </row>
    <row r="81" spans="2:19" ht="12.5">
      <c r="B81" s="1"/>
      <c r="C81" s="206" t="str">
        <f>+S124</f>
        <v xml:space="preserve">   FCR less Depreciation  (TCOS, ln 10)</v>
      </c>
      <c r="D81" s="2"/>
      <c r="E81" s="1"/>
      <c r="F81" s="263">
        <f>+R124</f>
        <v>0.11740270569314994</v>
      </c>
      <c r="H81" s="182"/>
      <c r="P81" s="1"/>
      <c r="Q81" s="1"/>
      <c r="R81" s="1"/>
      <c r="S81" s="1"/>
    </row>
    <row r="82" spans="2:19" ht="12.5">
      <c r="B82" s="1"/>
      <c r="C82" s="481" t="str">
        <f>"   Incremental FCR with "&amp;F13&amp;" Basis Point ROE increase, less Depreciation"</f>
        <v xml:space="preserve">   Incremental FCR with 0 Basis Point ROE increase, less Depreciation</v>
      </c>
      <c r="D82" s="485"/>
      <c r="E82" s="485"/>
      <c r="F82" s="8">
        <f>F80-F81</f>
        <v>0</v>
      </c>
      <c r="H82" s="182"/>
      <c r="P82" s="1"/>
      <c r="Q82" s="1"/>
      <c r="R82" s="1"/>
      <c r="S82" s="1"/>
    </row>
    <row r="83" spans="2:19" ht="12.5">
      <c r="B83" s="1"/>
      <c r="C83" s="485"/>
      <c r="D83" s="485"/>
      <c r="E83" s="485"/>
      <c r="F83" s="8"/>
      <c r="G83" s="1"/>
      <c r="H83" s="20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35</v>
      </c>
      <c r="C84" s="10" t="s">
        <v>36</v>
      </c>
      <c r="D84" s="2"/>
      <c r="E84" s="1"/>
      <c r="F84" s="8"/>
      <c r="G84" s="1"/>
      <c r="H84" s="20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0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9">
        <f>+R125</f>
        <v>1448207420</v>
      </c>
      <c r="G86" s="1" t="s">
        <v>283</v>
      </c>
      <c r="H86" s="20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4">
        <f>R126</f>
        <v>1632291615</v>
      </c>
      <c r="G87" s="1" t="s">
        <v>283</v>
      </c>
      <c r="H87" s="20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5">
      <c r="B88" s="1"/>
      <c r="C88" s="1"/>
      <c r="D88" s="2"/>
      <c r="F88" s="202">
        <f>+F87+F86</f>
        <v>3080499035</v>
      </c>
      <c r="G88" s="244"/>
      <c r="H88" s="20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S127</f>
        <v>Transmission Plant Average Balance for 2025 (WS A-1 Ln 14 Col (d))</v>
      </c>
      <c r="D89" s="2"/>
      <c r="F89" s="255">
        <f>+F88/2</f>
        <v>1540249517.5</v>
      </c>
      <c r="G89" s="265"/>
      <c r="H89" s="20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06" t="str">
        <f>S128</f>
        <v>Annual Depreciation Expense  (TCOS, ln 86)</v>
      </c>
      <c r="D90" s="2"/>
      <c r="E90" s="1"/>
      <c r="F90" s="255">
        <f>R128</f>
        <v>40526758.475003779</v>
      </c>
      <c r="G90" s="1"/>
      <c r="H90" s="20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39</v>
      </c>
      <c r="D91" s="2"/>
      <c r="E91" s="1"/>
      <c r="F91" s="8">
        <f>IF(F89=0,0,F90/F89)</f>
        <v>2.6311813777278967E-2</v>
      </c>
      <c r="G91" s="1"/>
      <c r="H91" s="26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40</v>
      </c>
      <c r="D92" s="2"/>
      <c r="E92" s="1"/>
      <c r="F92" s="266">
        <f>IF(F91=0,0,1/F91)</f>
        <v>38.005741773055938</v>
      </c>
      <c r="H92" s="20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41</v>
      </c>
      <c r="D93" s="2"/>
      <c r="E93" s="1"/>
      <c r="F93" s="12">
        <f>ROUND(F92,0)</f>
        <v>38</v>
      </c>
      <c r="G93" s="1"/>
      <c r="H93" s="20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C94" s="2"/>
      <c r="D94" s="12"/>
      <c r="E94" s="12"/>
      <c r="F94" s="12"/>
      <c r="G94" s="267"/>
      <c r="H94" s="267"/>
      <c r="I94" s="63"/>
      <c r="J94" s="63"/>
      <c r="K94" s="63"/>
      <c r="L94" s="63"/>
      <c r="M94" s="63"/>
      <c r="N94" s="63"/>
      <c r="O94" s="1"/>
      <c r="P94" s="1"/>
      <c r="Q94" s="1"/>
      <c r="R94" s="1"/>
      <c r="S94" s="1"/>
    </row>
    <row r="95" spans="2:19" ht="12.5">
      <c r="C95" s="2"/>
      <c r="D95" s="12"/>
      <c r="E95" s="12"/>
      <c r="F95" s="12"/>
      <c r="G95" s="267"/>
      <c r="H95" s="267"/>
      <c r="I95" s="63"/>
      <c r="J95" s="63"/>
      <c r="K95" s="63"/>
      <c r="L95" s="63"/>
      <c r="M95" s="63"/>
      <c r="N95" s="63"/>
      <c r="O95" s="1"/>
      <c r="P95" s="1"/>
      <c r="Q95" s="1"/>
      <c r="R95" s="1"/>
      <c r="S95" s="1"/>
    </row>
    <row r="96" spans="2:19" ht="12.5">
      <c r="P96" s="1"/>
      <c r="Q96" s="1"/>
      <c r="R96" s="1"/>
      <c r="S96" s="1"/>
    </row>
    <row r="97" spans="3:19" ht="13">
      <c r="P97" s="1"/>
      <c r="Q97" s="1"/>
      <c r="R97" s="268" t="s">
        <v>126</v>
      </c>
      <c r="S97" t="s">
        <v>127</v>
      </c>
    </row>
    <row r="98" spans="3:19" ht="12.5">
      <c r="P98" s="1"/>
      <c r="Q98" s="1"/>
    </row>
    <row r="99" spans="3:19" ht="13">
      <c r="C99" s="91" t="s">
        <v>122</v>
      </c>
      <c r="L99" s="91" t="s">
        <v>121</v>
      </c>
      <c r="P99" s="1"/>
      <c r="Q99" s="1"/>
    </row>
    <row r="100" spans="3:19" ht="12.5">
      <c r="P100" s="1"/>
      <c r="Q100" s="1"/>
      <c r="S100" s="196" t="s">
        <v>119</v>
      </c>
    </row>
    <row r="101" spans="3:19" ht="13">
      <c r="P101" s="1"/>
      <c r="Q101" s="1"/>
      <c r="R101" s="268" t="s">
        <v>115</v>
      </c>
      <c r="S101" s="169" t="s">
        <v>120</v>
      </c>
    </row>
    <row r="102" spans="3:19" ht="13.5" thickBot="1">
      <c r="P102" s="1"/>
      <c r="Q102" s="1"/>
      <c r="R102" s="269" t="s">
        <v>142</v>
      </c>
    </row>
    <row r="103" spans="3:19" ht="12.5">
      <c r="P103" s="1"/>
      <c r="Q103" s="1"/>
      <c r="R103" s="270" t="s">
        <v>289</v>
      </c>
      <c r="S103" s="271" t="s">
        <v>143</v>
      </c>
    </row>
    <row r="104" spans="3:19" ht="12.5">
      <c r="P104" s="1"/>
      <c r="Q104" s="1"/>
      <c r="R104" s="272">
        <v>2026</v>
      </c>
      <c r="S104" s="273" t="s">
        <v>355</v>
      </c>
    </row>
    <row r="105" spans="3:19" ht="12.5">
      <c r="P105" s="1"/>
      <c r="Q105" s="1"/>
      <c r="R105" s="451">
        <v>0.105</v>
      </c>
      <c r="S105" s="273" t="s">
        <v>356</v>
      </c>
    </row>
    <row r="106" spans="3:19" ht="12.5">
      <c r="P106" s="1"/>
      <c r="Q106" s="1"/>
      <c r="R106" s="274">
        <v>0</v>
      </c>
      <c r="S106" s="273" t="s">
        <v>1</v>
      </c>
    </row>
    <row r="107" spans="3:19" ht="12.5">
      <c r="P107" s="1"/>
      <c r="Q107" s="1"/>
      <c r="R107" s="275">
        <v>0.47641626862241743</v>
      </c>
      <c r="S107" s="276" t="s">
        <v>109</v>
      </c>
    </row>
    <row r="108" spans="3:19" ht="12.5">
      <c r="P108" s="1"/>
      <c r="Q108" s="1"/>
      <c r="R108" s="275">
        <v>4.7051485789181668E-2</v>
      </c>
      <c r="S108" s="276" t="s">
        <v>110</v>
      </c>
    </row>
    <row r="109" spans="3:19" ht="12.5">
      <c r="P109" s="1"/>
      <c r="Q109" s="1"/>
      <c r="R109" s="275">
        <v>0</v>
      </c>
      <c r="S109" s="276" t="s">
        <v>111</v>
      </c>
    </row>
    <row r="110" spans="3:19" ht="12.5">
      <c r="P110" s="1"/>
      <c r="Q110" s="1"/>
      <c r="R110" s="275">
        <v>0</v>
      </c>
      <c r="S110" s="276" t="s">
        <v>112</v>
      </c>
    </row>
    <row r="111" spans="3:19" ht="12.5">
      <c r="P111" s="1"/>
      <c r="Q111" s="1"/>
      <c r="R111" s="275">
        <v>0.52358373137758252</v>
      </c>
      <c r="S111" s="277" t="s">
        <v>113</v>
      </c>
    </row>
    <row r="112" spans="3:19" ht="12.5">
      <c r="P112" s="1"/>
      <c r="Q112" s="1"/>
      <c r="R112" s="278">
        <v>874038735.34467185</v>
      </c>
      <c r="S112" s="279" t="s">
        <v>357</v>
      </c>
    </row>
    <row r="113" spans="3:19" ht="12.5">
      <c r="P113" s="1"/>
      <c r="Q113" s="1"/>
      <c r="R113" s="280">
        <v>0.24136299999999988</v>
      </c>
      <c r="S113" s="281" t="s">
        <v>358</v>
      </c>
    </row>
    <row r="114" spans="3:19" ht="12.5">
      <c r="P114" s="1"/>
      <c r="Q114" s="1"/>
      <c r="R114" s="278">
        <v>188536.76489427828</v>
      </c>
      <c r="S114" s="281" t="s">
        <v>359</v>
      </c>
    </row>
    <row r="115" spans="3:19" ht="12.5">
      <c r="P115" s="1"/>
      <c r="Q115" s="1"/>
      <c r="R115" s="278">
        <v>-1668949.4743433837</v>
      </c>
      <c r="S115" s="281" t="s">
        <v>324</v>
      </c>
    </row>
    <row r="116" spans="3:19" ht="12.5">
      <c r="P116" s="1"/>
      <c r="Q116" s="1"/>
      <c r="R116" s="278">
        <v>100044.35871204591</v>
      </c>
      <c r="S116" s="281" t="s">
        <v>360</v>
      </c>
    </row>
    <row r="117" spans="3:19" ht="12.5">
      <c r="C117" s="1"/>
      <c r="D117" s="2"/>
      <c r="E117" s="1"/>
      <c r="F117" s="1"/>
      <c r="G117" s="1"/>
      <c r="H117" s="202"/>
      <c r="I117" s="1"/>
      <c r="J117" s="1"/>
      <c r="K117" s="1"/>
      <c r="L117" s="1"/>
      <c r="M117" s="1"/>
      <c r="N117" s="1"/>
      <c r="O117" s="1"/>
      <c r="P117" s="1"/>
      <c r="Q117" s="1"/>
      <c r="R117" s="278">
        <v>149874457.99685794</v>
      </c>
      <c r="S117" s="281" t="s">
        <v>361</v>
      </c>
    </row>
    <row r="118" spans="3:19" ht="12.5">
      <c r="C118" s="1"/>
      <c r="D118" s="2"/>
      <c r="E118" s="1"/>
      <c r="F118" s="1"/>
      <c r="G118" s="1"/>
      <c r="H118" s="202"/>
      <c r="I118" s="1"/>
      <c r="J118" s="1"/>
      <c r="K118" s="1"/>
      <c r="L118" s="1"/>
      <c r="M118" s="1"/>
      <c r="N118" s="1"/>
      <c r="O118" s="1"/>
      <c r="P118" s="1"/>
      <c r="Q118" s="1"/>
      <c r="R118" s="278">
        <v>67643942.387159064</v>
      </c>
      <c r="S118" s="281" t="s">
        <v>362</v>
      </c>
    </row>
    <row r="119" spans="3:19" ht="12.5">
      <c r="C119" s="1"/>
      <c r="D119" s="2"/>
      <c r="E119" s="1"/>
      <c r="F119" s="1"/>
      <c r="G119" s="1"/>
      <c r="H119" s="202"/>
      <c r="I119" s="1"/>
      <c r="J119" s="1"/>
      <c r="K119" s="1"/>
      <c r="L119" s="1"/>
      <c r="M119" s="1"/>
      <c r="N119" s="1"/>
      <c r="O119" s="1"/>
      <c r="P119" s="1"/>
      <c r="Q119" s="1"/>
      <c r="R119" s="278">
        <v>13907354.397891074</v>
      </c>
      <c r="S119" s="281" t="s">
        <v>363</v>
      </c>
    </row>
    <row r="120" spans="3:19" ht="12.5">
      <c r="C120" s="1"/>
      <c r="D120" s="2"/>
      <c r="E120" s="1"/>
      <c r="F120" s="1"/>
      <c r="G120" s="1"/>
      <c r="H120" s="202"/>
      <c r="I120" s="1"/>
      <c r="J120" s="1"/>
      <c r="K120" s="1"/>
      <c r="L120" s="1"/>
      <c r="M120" s="1"/>
      <c r="N120" s="1"/>
      <c r="O120" s="1"/>
      <c r="P120" s="1"/>
      <c r="Q120" s="1"/>
      <c r="R120" s="278">
        <v>0</v>
      </c>
      <c r="S120" s="281" t="s">
        <v>364</v>
      </c>
    </row>
    <row r="121" spans="3:19" ht="12.5">
      <c r="C121" s="1"/>
      <c r="D121" s="2"/>
      <c r="E121" s="1"/>
      <c r="F121" s="1"/>
      <c r="G121" s="1"/>
      <c r="H121" s="202"/>
      <c r="I121" s="1"/>
      <c r="J121" s="1"/>
      <c r="K121" s="1"/>
      <c r="L121" s="1"/>
      <c r="M121" s="1"/>
      <c r="N121" s="1"/>
      <c r="O121" s="1"/>
      <c r="P121" s="1"/>
      <c r="Q121" s="1"/>
      <c r="R121" s="278">
        <v>32874542.328941975</v>
      </c>
      <c r="S121" s="281" t="s">
        <v>365</v>
      </c>
    </row>
    <row r="122" spans="3:19" ht="12.5">
      <c r="C122" s="1"/>
      <c r="D122" s="2"/>
      <c r="E122" s="1"/>
      <c r="F122" s="1"/>
      <c r="G122" s="1"/>
      <c r="H122" s="202"/>
      <c r="I122" s="1"/>
      <c r="J122" s="1"/>
      <c r="K122" s="1"/>
      <c r="L122" s="1"/>
      <c r="M122" s="1"/>
      <c r="N122" s="1"/>
      <c r="O122" s="1"/>
      <c r="P122" s="1"/>
      <c r="Q122" s="1"/>
      <c r="R122" s="280">
        <v>0</v>
      </c>
      <c r="S122" s="281" t="s">
        <v>118</v>
      </c>
    </row>
    <row r="123" spans="3:19" ht="12.5">
      <c r="C123" s="1"/>
      <c r="D123" s="2"/>
      <c r="E123" s="1"/>
      <c r="F123" s="1"/>
      <c r="G123" s="1"/>
      <c r="H123" s="202"/>
      <c r="I123" s="1"/>
      <c r="J123" s="1"/>
      <c r="K123" s="1"/>
      <c r="L123" s="1"/>
      <c r="M123" s="1"/>
      <c r="N123" s="1"/>
      <c r="O123" s="1"/>
      <c r="P123" s="1"/>
      <c r="Q123" s="1"/>
      <c r="R123" s="278">
        <v>996569158.92307699</v>
      </c>
      <c r="S123" s="281" t="s">
        <v>329</v>
      </c>
    </row>
    <row r="124" spans="3:19" ht="12.5">
      <c r="C124" s="1"/>
      <c r="D124" s="2"/>
      <c r="E124" s="1"/>
      <c r="F124" s="1"/>
      <c r="G124" s="1"/>
      <c r="H124" s="202"/>
      <c r="I124" s="1"/>
      <c r="J124" s="1"/>
      <c r="K124" s="1"/>
      <c r="L124" s="1"/>
      <c r="M124" s="1"/>
      <c r="N124" s="1"/>
      <c r="O124" s="1"/>
      <c r="P124" s="1"/>
      <c r="Q124" s="1"/>
      <c r="R124" s="282">
        <v>0.11740270569314994</v>
      </c>
      <c r="S124" s="283" t="s">
        <v>366</v>
      </c>
    </row>
    <row r="125" spans="3:19" ht="12.5">
      <c r="C125" s="1"/>
      <c r="D125" s="2"/>
      <c r="E125" s="1"/>
      <c r="F125" s="1"/>
      <c r="G125" s="1"/>
      <c r="H125" s="202"/>
      <c r="I125" s="1"/>
      <c r="J125" s="1"/>
      <c r="K125" s="1"/>
      <c r="L125" s="1"/>
      <c r="M125" s="1"/>
      <c r="N125" s="1"/>
      <c r="O125" s="1"/>
      <c r="P125" s="1"/>
      <c r="Q125" s="1"/>
      <c r="R125" s="284">
        <v>1448207420</v>
      </c>
      <c r="S125" s="276" t="s">
        <v>37</v>
      </c>
    </row>
    <row r="126" spans="3:19" ht="12.5">
      <c r="C126" s="1"/>
      <c r="D126" s="2"/>
      <c r="E126" s="1"/>
      <c r="F126" s="1"/>
      <c r="G126" s="1"/>
      <c r="H126" s="202"/>
      <c r="I126" s="1"/>
      <c r="J126" s="1"/>
      <c r="K126" s="1"/>
      <c r="L126" s="1"/>
      <c r="M126" s="1"/>
      <c r="N126" s="1"/>
      <c r="O126" s="1"/>
      <c r="P126" s="1"/>
      <c r="Q126" s="1"/>
      <c r="R126" s="284">
        <v>1632291615</v>
      </c>
      <c r="S126" s="277" t="s">
        <v>38</v>
      </c>
    </row>
    <row r="127" spans="3:19" ht="12.5">
      <c r="C127" s="1"/>
      <c r="D127" s="2"/>
      <c r="E127" s="1"/>
      <c r="F127" s="1"/>
      <c r="G127" s="1"/>
      <c r="H127" s="202"/>
      <c r="I127" s="1"/>
      <c r="J127" s="1"/>
      <c r="K127" s="1"/>
      <c r="L127" s="1"/>
      <c r="M127" s="1"/>
      <c r="N127" s="1"/>
      <c r="O127" s="1"/>
      <c r="P127" s="1"/>
      <c r="Q127" s="1"/>
      <c r="R127" s="284">
        <v>1519175134.6923077</v>
      </c>
      <c r="S127" s="285" t="s">
        <v>425</v>
      </c>
    </row>
    <row r="128" spans="3:19" ht="13" thickBot="1">
      <c r="C128" s="1"/>
      <c r="D128" s="2"/>
      <c r="E128" s="1"/>
      <c r="F128" s="1"/>
      <c r="G128" s="1"/>
      <c r="H128" s="202"/>
      <c r="I128" s="1"/>
      <c r="J128" s="1"/>
      <c r="K128" s="1"/>
      <c r="L128" s="1"/>
      <c r="M128" s="1"/>
      <c r="N128" s="1"/>
      <c r="O128" s="1"/>
      <c r="P128" s="1"/>
      <c r="Q128" s="1"/>
      <c r="R128" s="12">
        <v>40526758.475003779</v>
      </c>
      <c r="S128" s="286" t="s">
        <v>367</v>
      </c>
    </row>
    <row r="129" spans="3:19" ht="12.5">
      <c r="C129" s="1"/>
      <c r="D129" s="2"/>
      <c r="E129" s="1"/>
      <c r="F129" s="1"/>
      <c r="G129" s="1"/>
      <c r="H129" s="20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202"/>
      <c r="I130" s="1"/>
      <c r="J130" s="1"/>
      <c r="K130" s="1"/>
      <c r="L130" s="1"/>
      <c r="M130" s="1"/>
      <c r="N130" s="1"/>
      <c r="O130" s="1"/>
      <c r="P130" s="1"/>
      <c r="Q130" s="1"/>
      <c r="R130" s="268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255"/>
      <c r="I131" s="1"/>
      <c r="J131" s="1"/>
      <c r="K131" s="1"/>
      <c r="L131" s="1"/>
      <c r="M131" s="1"/>
      <c r="N131" s="1"/>
      <c r="O131" s="1"/>
      <c r="P131" s="1"/>
      <c r="Q131" s="1"/>
      <c r="R131" s="269" t="s">
        <v>114</v>
      </c>
      <c r="S131" s="1"/>
    </row>
    <row r="132" spans="3:19" ht="12.5">
      <c r="C132" s="1"/>
      <c r="D132" s="2"/>
      <c r="E132" s="1"/>
      <c r="F132" s="1"/>
      <c r="G132" s="1"/>
      <c r="H132" s="255"/>
      <c r="I132" s="1"/>
      <c r="J132" s="1"/>
      <c r="K132" s="1"/>
      <c r="L132" s="1"/>
      <c r="M132" s="1"/>
      <c r="N132" s="1"/>
      <c r="O132" s="1"/>
      <c r="P132" s="1"/>
      <c r="Q132" s="1"/>
      <c r="R132" s="287">
        <f>+M19</f>
        <v>10760192.392574767</v>
      </c>
      <c r="S132" s="1" t="str">
        <f>+K19&amp;" "&amp;M17</f>
        <v>PROJECTED YEAR Rev Require</v>
      </c>
    </row>
    <row r="133" spans="3:19" ht="12.5">
      <c r="C133" s="1"/>
      <c r="D133" s="2"/>
      <c r="E133" s="1"/>
      <c r="F133" s="1"/>
      <c r="G133" s="1"/>
      <c r="H133" s="255"/>
      <c r="I133" s="1"/>
      <c r="J133" s="1"/>
      <c r="K133" s="1"/>
      <c r="L133" s="1"/>
      <c r="M133" s="1"/>
      <c r="N133" s="1"/>
      <c r="O133" s="1"/>
      <c r="P133" s="1"/>
      <c r="Q133" s="1"/>
      <c r="R133" s="288">
        <f>+N19</f>
        <v>10760192.392574767</v>
      </c>
      <c r="S133" s="1" t="str">
        <f>K19&amp;" "&amp;N17</f>
        <v>PROJECTED YEAR  W Incentives</v>
      </c>
    </row>
    <row r="134" spans="3:19" ht="13" thickBot="1">
      <c r="C134" s="1"/>
      <c r="D134" s="2"/>
      <c r="E134" s="1"/>
      <c r="F134" s="1"/>
      <c r="G134" s="1"/>
      <c r="H134" s="255"/>
      <c r="I134" s="1"/>
      <c r="J134" s="1"/>
      <c r="K134" s="1"/>
      <c r="L134" s="1"/>
      <c r="M134" s="1"/>
      <c r="N134" s="1"/>
      <c r="O134" s="1"/>
      <c r="P134" s="1"/>
      <c r="Q134" s="1"/>
      <c r="R134" s="289">
        <f>+O19</f>
        <v>0</v>
      </c>
      <c r="S134" s="1" t="str">
        <f>K19&amp;" "&amp;O17</f>
        <v>PROJECTED YEAR Incentive Amounts</v>
      </c>
    </row>
    <row r="135" spans="3:19" ht="12.5">
      <c r="C135" s="1"/>
      <c r="D135" s="2"/>
      <c r="E135" s="1"/>
      <c r="F135" s="1"/>
      <c r="G135" s="1"/>
      <c r="H135" s="25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68" t="s">
        <v>128</v>
      </c>
      <c r="S137" s="196" t="s">
        <v>129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r:id="rId1"/>
  <headerFooter alignWithMargins="0">
    <oddHeader xml:space="preserve">&amp;R&amp;16AEP - SPP Formula Rate
PSO TCOS - WS F
Page: &amp;P of &amp;N
</oddHeader>
    <oddFooter xml:space="preserve">&amp;C &amp;R </oddFooter>
  </headerFooter>
  <colBreaks count="1" manualBreakCount="1">
    <brk id="15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V162"/>
  <sheetViews>
    <sheetView topLeftCell="A125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17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190606.92552631578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190606.92552631578</v>
      </c>
      <c r="O6" s="1"/>
      <c r="P6" s="1"/>
    </row>
    <row r="7" spans="1:16" ht="13.5" thickBot="1">
      <c r="C7" s="26" t="s">
        <v>46</v>
      </c>
      <c r="D7" s="88" t="s">
        <v>265</v>
      </c>
      <c r="E7" s="426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290</v>
      </c>
      <c r="E9" s="404" t="s">
        <v>291</v>
      </c>
      <c r="F9" s="32"/>
      <c r="G9" s="452" t="s">
        <v>402</v>
      </c>
      <c r="H9" s="32"/>
      <c r="I9" s="33"/>
      <c r="J9" s="34"/>
      <c r="P9" s="1"/>
    </row>
    <row r="10" spans="1:16" ht="13">
      <c r="C10" s="128" t="s">
        <v>226</v>
      </c>
      <c r="D10" s="336">
        <v>1692023.1700000002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44526.92552631579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2015</v>
      </c>
      <c r="D17" s="411">
        <v>1500000</v>
      </c>
      <c r="E17" s="433">
        <v>0</v>
      </c>
      <c r="F17" s="411">
        <v>1500000</v>
      </c>
      <c r="G17" s="433">
        <v>206807.48514960654</v>
      </c>
      <c r="H17" s="414">
        <v>206807.48514960654</v>
      </c>
      <c r="I17" s="52">
        <v>0</v>
      </c>
      <c r="J17" s="52"/>
      <c r="K17" s="324">
        <f t="shared" ref="K17:K22" si="0">G17</f>
        <v>206807.48514960654</v>
      </c>
      <c r="L17" s="63">
        <f t="shared" ref="L17:L22" si="1">IF(K17&lt;&gt;0,+G17-K17,0)</f>
        <v>0</v>
      </c>
      <c r="M17" s="324">
        <f t="shared" ref="M17:M22" si="2">H17</f>
        <v>206807.48514960654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11">
        <v>1777912</v>
      </c>
      <c r="E18" s="412">
        <v>34190.615384615383</v>
      </c>
      <c r="F18" s="411">
        <v>1743721.3846153845</v>
      </c>
      <c r="G18" s="412">
        <v>262896.61538461538</v>
      </c>
      <c r="H18" s="414">
        <v>262896.61538461538</v>
      </c>
      <c r="I18" s="52">
        <f>H18-G18</f>
        <v>0</v>
      </c>
      <c r="J18" s="52"/>
      <c r="K18" s="324">
        <f t="shared" si="0"/>
        <v>262896.61538461538</v>
      </c>
      <c r="L18" s="63">
        <f t="shared" si="1"/>
        <v>0</v>
      </c>
      <c r="M18" s="324">
        <f t="shared" si="2"/>
        <v>262896.61538461538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11">
        <v>1657832.3846153845</v>
      </c>
      <c r="E19" s="412">
        <v>36783.108695652176</v>
      </c>
      <c r="F19" s="411">
        <v>1621049.2759197324</v>
      </c>
      <c r="G19" s="412">
        <v>243079.10869565216</v>
      </c>
      <c r="H19" s="414">
        <v>243079.10869565216</v>
      </c>
      <c r="I19" s="52">
        <f t="shared" ref="I19:I72" si="3">H19-G19</f>
        <v>0</v>
      </c>
      <c r="J19" s="52"/>
      <c r="K19" s="324">
        <f t="shared" si="0"/>
        <v>243079.10869565216</v>
      </c>
      <c r="L19" s="63">
        <f t="shared" si="1"/>
        <v>0</v>
      </c>
      <c r="M19" s="324">
        <f t="shared" si="2"/>
        <v>243079.10869565216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11">
        <v>1621049.2759197324</v>
      </c>
      <c r="E20" s="412">
        <v>37600.511111111111</v>
      </c>
      <c r="F20" s="411">
        <v>1583448.7648086213</v>
      </c>
      <c r="G20" s="412">
        <v>229484.15653998824</v>
      </c>
      <c r="H20" s="414">
        <v>229484.15653998824</v>
      </c>
      <c r="I20" s="52">
        <f t="shared" si="3"/>
        <v>0</v>
      </c>
      <c r="J20" s="52"/>
      <c r="K20" s="324">
        <f t="shared" si="0"/>
        <v>229484.15653998824</v>
      </c>
      <c r="L20" s="63">
        <f t="shared" si="1"/>
        <v>0</v>
      </c>
      <c r="M20" s="324">
        <f t="shared" si="2"/>
        <v>229484.15653998824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11">
        <v>1583448.7648086213</v>
      </c>
      <c r="E21" s="412">
        <v>42300.574999999997</v>
      </c>
      <c r="F21" s="411">
        <v>1541148.1898086213</v>
      </c>
      <c r="G21" s="412">
        <v>216741.56005757477</v>
      </c>
      <c r="H21" s="414">
        <v>216741.56005757477</v>
      </c>
      <c r="I21" s="52">
        <f t="shared" si="3"/>
        <v>0</v>
      </c>
      <c r="J21" s="52"/>
      <c r="K21" s="324">
        <f t="shared" si="0"/>
        <v>216741.56005757477</v>
      </c>
      <c r="L21" s="63">
        <f t="shared" si="1"/>
        <v>0</v>
      </c>
      <c r="M21" s="324">
        <f t="shared" si="2"/>
        <v>216741.56005757477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11">
        <v>1545848.2536975101</v>
      </c>
      <c r="E22" s="412">
        <v>40286.261904761908</v>
      </c>
      <c r="F22" s="411">
        <v>1505561.9917927482</v>
      </c>
      <c r="G22" s="412">
        <v>205069.7033172223</v>
      </c>
      <c r="H22" s="414">
        <v>205069.7033172223</v>
      </c>
      <c r="I22" s="52">
        <f t="shared" si="3"/>
        <v>0</v>
      </c>
      <c r="J22" s="52"/>
      <c r="K22" s="324">
        <f t="shared" si="0"/>
        <v>205069.7033172223</v>
      </c>
      <c r="L22" s="63">
        <f t="shared" si="1"/>
        <v>0</v>
      </c>
      <c r="M22" s="324">
        <f t="shared" si="2"/>
        <v>205069.7033172223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11">
        <v>1500861.9279038594</v>
      </c>
      <c r="E23" s="412">
        <v>39349.372093023259</v>
      </c>
      <c r="F23" s="411">
        <v>1461512.5558108361</v>
      </c>
      <c r="G23" s="412">
        <v>196932.37209302327</v>
      </c>
      <c r="H23" s="414">
        <v>196932.37209302327</v>
      </c>
      <c r="I23" s="52">
        <f t="shared" si="3"/>
        <v>0</v>
      </c>
      <c r="J23" s="52"/>
      <c r="K23" s="324">
        <f t="shared" ref="K23" si="7">G23</f>
        <v>196932.37209302327</v>
      </c>
      <c r="L23" s="63">
        <f t="shared" ref="L23" si="8">IF(K23&lt;&gt;0,+G23-K23,0)</f>
        <v>0</v>
      </c>
      <c r="M23" s="324">
        <f t="shared" ref="M23" si="9">H23</f>
        <v>196932.37209302327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/>
      </c>
      <c r="C24" s="50">
        <f>IF(D11="","-",+C23+1)</f>
        <v>2022</v>
      </c>
      <c r="D24" s="411">
        <v>1461512.5558108361</v>
      </c>
      <c r="E24" s="412">
        <v>40286.261904761908</v>
      </c>
      <c r="F24" s="411">
        <v>1421226.2939060743</v>
      </c>
      <c r="G24" s="412">
        <v>193510.26190476189</v>
      </c>
      <c r="H24" s="414">
        <v>193510.26190476189</v>
      </c>
      <c r="I24" s="52">
        <f t="shared" si="3"/>
        <v>0</v>
      </c>
      <c r="J24" s="52"/>
      <c r="K24" s="324">
        <f t="shared" ref="K24" si="10">G24</f>
        <v>193510.26190476189</v>
      </c>
      <c r="L24" s="63">
        <f t="shared" ref="L24" si="11">IF(K24&lt;&gt;0,+G24-K24,0)</f>
        <v>0</v>
      </c>
      <c r="M24" s="324">
        <f t="shared" ref="M24" si="12">H24</f>
        <v>193510.26190476189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11">
        <v>1421226.4639060744</v>
      </c>
      <c r="E25" s="412">
        <v>43385.209487179491</v>
      </c>
      <c r="F25" s="411">
        <v>1377841.2544188949</v>
      </c>
      <c r="G25" s="412">
        <v>207843.2094871795</v>
      </c>
      <c r="H25" s="414">
        <v>207843.2094871795</v>
      </c>
      <c r="I25" s="52">
        <f t="shared" si="3"/>
        <v>0</v>
      </c>
      <c r="J25" s="52"/>
      <c r="K25" s="324">
        <f t="shared" ref="K25" si="13">G25</f>
        <v>207843.2094871795</v>
      </c>
      <c r="L25" s="63">
        <f t="shared" ref="L25" si="14">IF(K25&lt;&gt;0,+G25-K25,0)</f>
        <v>0</v>
      </c>
      <c r="M25" s="324">
        <f t="shared" ref="M25" si="15">H25</f>
        <v>207843.2094871795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4"/>
        <v/>
      </c>
      <c r="C26" s="450">
        <f>IF(D11="","-",+C25+1)</f>
        <v>2024</v>
      </c>
      <c r="D26" s="411">
        <v>1377841.2544188949</v>
      </c>
      <c r="E26" s="412">
        <v>44526.92552631579</v>
      </c>
      <c r="F26" s="411">
        <v>1333314.3288925791</v>
      </c>
      <c r="G26" s="412">
        <v>196177.92552631578</v>
      </c>
      <c r="H26" s="414">
        <v>196177.92552631578</v>
      </c>
      <c r="I26" s="52">
        <f t="shared" si="3"/>
        <v>0</v>
      </c>
      <c r="J26" s="52"/>
      <c r="K26" s="324">
        <f t="shared" ref="K26" si="18">G26</f>
        <v>196177.92552631578</v>
      </c>
      <c r="L26" s="63">
        <f t="shared" ref="L26" si="19">IF(K26&lt;&gt;0,+G26-K26,0)</f>
        <v>0</v>
      </c>
      <c r="M26" s="324">
        <f t="shared" ref="M26" si="20">H26</f>
        <v>196177.92552631578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3">
      <c r="B27" s="7" t="str">
        <f t="shared" si="4"/>
        <v/>
      </c>
      <c r="C27" s="449">
        <f>IF(D11="","-",+C26+1)</f>
        <v>2025</v>
      </c>
      <c r="D27" s="411">
        <v>1333314.3288925791</v>
      </c>
      <c r="E27" s="412">
        <v>44526.92552631579</v>
      </c>
      <c r="F27" s="411">
        <v>1288787.4033662633</v>
      </c>
      <c r="G27" s="412">
        <v>190941.92552631578</v>
      </c>
      <c r="H27" s="414">
        <v>190941.92552631578</v>
      </c>
      <c r="I27" s="52">
        <f t="shared" si="3"/>
        <v>0</v>
      </c>
      <c r="J27" s="52"/>
      <c r="K27" s="324">
        <f t="shared" ref="K27" si="23">G27</f>
        <v>190941.92552631578</v>
      </c>
      <c r="L27" s="63">
        <f t="shared" ref="L27" si="24">IF(K27&lt;&gt;0,+G27-K27,0)</f>
        <v>0</v>
      </c>
      <c r="M27" s="324">
        <f t="shared" ref="M27" si="25">H27</f>
        <v>190941.92552631578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1288787.4033662633</v>
      </c>
      <c r="E28" s="354">
        <f t="shared" ref="E28:E72" si="28">IF(+$I$14&lt;F27,$I$14,D28)</f>
        <v>44526.92552631579</v>
      </c>
      <c r="F28" s="55">
        <f t="shared" ref="F28:F72" si="29">+D28-E28</f>
        <v>1244260.4778399474</v>
      </c>
      <c r="G28" s="355">
        <f t="shared" ref="G28:G72" si="30">ROUND(I$12*F28,0)+E28</f>
        <v>190606.92552631578</v>
      </c>
      <c r="H28" s="337">
        <f t="shared" ref="H28:H72" si="31">ROUND(I$13*F28,0)+E28</f>
        <v>190606.92552631578</v>
      </c>
      <c r="I28" s="52">
        <f t="shared" si="3"/>
        <v>0</v>
      </c>
      <c r="J28" s="52"/>
      <c r="K28" s="115"/>
      <c r="L28" s="54">
        <f t="shared" ref="L28:L72" si="32">IF(K28&lt;&gt;0,+G28-K28,0)</f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1244260.4778399474</v>
      </c>
      <c r="E29" s="354">
        <f t="shared" si="28"/>
        <v>44526.92552631579</v>
      </c>
      <c r="F29" s="55">
        <f t="shared" si="29"/>
        <v>1199733.5523136316</v>
      </c>
      <c r="G29" s="355">
        <f t="shared" si="30"/>
        <v>185378.92552631578</v>
      </c>
      <c r="H29" s="337">
        <f t="shared" si="31"/>
        <v>185378.92552631578</v>
      </c>
      <c r="I29" s="52">
        <f t="shared" si="3"/>
        <v>0</v>
      </c>
      <c r="J29" s="52"/>
      <c r="K29" s="115"/>
      <c r="L29" s="54">
        <f t="shared" si="32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1199733.5523136316</v>
      </c>
      <c r="E30" s="354">
        <f t="shared" si="28"/>
        <v>44526.92552631579</v>
      </c>
      <c r="F30" s="55">
        <f t="shared" si="29"/>
        <v>1155206.6267873158</v>
      </c>
      <c r="G30" s="355">
        <f t="shared" si="30"/>
        <v>180150.92552631578</v>
      </c>
      <c r="H30" s="337">
        <f t="shared" si="31"/>
        <v>180150.92552631578</v>
      </c>
      <c r="I30" s="52">
        <f t="shared" si="3"/>
        <v>0</v>
      </c>
      <c r="J30" s="52"/>
      <c r="K30" s="115"/>
      <c r="L30" s="54">
        <f t="shared" si="32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1155206.6267873158</v>
      </c>
      <c r="E31" s="354">
        <f t="shared" si="28"/>
        <v>44526.92552631579</v>
      </c>
      <c r="F31" s="55">
        <f t="shared" si="29"/>
        <v>1110679.701261</v>
      </c>
      <c r="G31" s="355">
        <f t="shared" si="30"/>
        <v>174923.92552631578</v>
      </c>
      <c r="H31" s="337">
        <f t="shared" si="31"/>
        <v>174923.92552631578</v>
      </c>
      <c r="I31" s="52">
        <f t="shared" si="3"/>
        <v>0</v>
      </c>
      <c r="J31" s="52"/>
      <c r="K31" s="115"/>
      <c r="L31" s="54">
        <f t="shared" si="32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1110679.701261</v>
      </c>
      <c r="E32" s="354">
        <f t="shared" si="28"/>
        <v>44526.92552631579</v>
      </c>
      <c r="F32" s="55">
        <f t="shared" si="29"/>
        <v>1066152.7757346842</v>
      </c>
      <c r="G32" s="355">
        <f t="shared" si="30"/>
        <v>169695.92552631578</v>
      </c>
      <c r="H32" s="337">
        <f t="shared" si="31"/>
        <v>169695.92552631578</v>
      </c>
      <c r="I32" s="52">
        <f t="shared" si="3"/>
        <v>0</v>
      </c>
      <c r="J32" s="52"/>
      <c r="K32" s="115"/>
      <c r="L32" s="54">
        <f t="shared" si="32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1066152.7757346842</v>
      </c>
      <c r="E33" s="354">
        <f t="shared" si="28"/>
        <v>44526.92552631579</v>
      </c>
      <c r="F33" s="55">
        <f t="shared" si="29"/>
        <v>1021625.8502083684</v>
      </c>
      <c r="G33" s="355">
        <f t="shared" si="30"/>
        <v>164468.92552631578</v>
      </c>
      <c r="H33" s="337">
        <f t="shared" si="31"/>
        <v>164468.92552631578</v>
      </c>
      <c r="I33" s="52">
        <f t="shared" si="3"/>
        <v>0</v>
      </c>
      <c r="J33" s="52"/>
      <c r="K33" s="115"/>
      <c r="L33" s="54">
        <f t="shared" si="32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1021625.8502083684</v>
      </c>
      <c r="E34" s="354">
        <f t="shared" si="28"/>
        <v>44526.92552631579</v>
      </c>
      <c r="F34" s="55">
        <f t="shared" si="29"/>
        <v>977098.92468205257</v>
      </c>
      <c r="G34" s="355">
        <f t="shared" si="30"/>
        <v>159240.92552631578</v>
      </c>
      <c r="H34" s="337">
        <f t="shared" si="31"/>
        <v>159240.92552631578</v>
      </c>
      <c r="I34" s="52">
        <f t="shared" si="3"/>
        <v>0</v>
      </c>
      <c r="J34" s="52"/>
      <c r="K34" s="115"/>
      <c r="L34" s="54">
        <f t="shared" si="32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977098.92468205257</v>
      </c>
      <c r="E35" s="354">
        <f t="shared" si="28"/>
        <v>44526.92552631579</v>
      </c>
      <c r="F35" s="55">
        <f t="shared" si="29"/>
        <v>932571.99915573676</v>
      </c>
      <c r="G35" s="355">
        <f t="shared" si="30"/>
        <v>154012.92552631578</v>
      </c>
      <c r="H35" s="337">
        <f t="shared" si="31"/>
        <v>154012.92552631578</v>
      </c>
      <c r="I35" s="52">
        <f t="shared" si="3"/>
        <v>0</v>
      </c>
      <c r="J35" s="52"/>
      <c r="K35" s="115"/>
      <c r="L35" s="54">
        <f t="shared" si="32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932571.99915573676</v>
      </c>
      <c r="E36" s="354">
        <f t="shared" si="28"/>
        <v>44526.92552631579</v>
      </c>
      <c r="F36" s="55">
        <f t="shared" si="29"/>
        <v>888045.07362942095</v>
      </c>
      <c r="G36" s="355">
        <f t="shared" si="30"/>
        <v>148785.92552631578</v>
      </c>
      <c r="H36" s="337">
        <f t="shared" si="31"/>
        <v>148785.92552631578</v>
      </c>
      <c r="I36" s="52">
        <f t="shared" si="3"/>
        <v>0</v>
      </c>
      <c r="J36" s="52"/>
      <c r="K36" s="115"/>
      <c r="L36" s="54">
        <f t="shared" si="32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888045.07362942095</v>
      </c>
      <c r="E37" s="354">
        <f t="shared" si="28"/>
        <v>44526.92552631579</v>
      </c>
      <c r="F37" s="55">
        <f t="shared" si="29"/>
        <v>843518.14810310514</v>
      </c>
      <c r="G37" s="355">
        <f t="shared" si="30"/>
        <v>143557.92552631578</v>
      </c>
      <c r="H37" s="337">
        <f t="shared" si="31"/>
        <v>143557.92552631578</v>
      </c>
      <c r="I37" s="52">
        <f t="shared" si="3"/>
        <v>0</v>
      </c>
      <c r="J37" s="52"/>
      <c r="K37" s="115"/>
      <c r="L37" s="54">
        <f t="shared" si="32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843518.14810310514</v>
      </c>
      <c r="E38" s="354">
        <f t="shared" si="28"/>
        <v>44526.92552631579</v>
      </c>
      <c r="F38" s="55">
        <f t="shared" si="29"/>
        <v>798991.22257678933</v>
      </c>
      <c r="G38" s="355">
        <f t="shared" si="30"/>
        <v>138330.92552631578</v>
      </c>
      <c r="H38" s="337">
        <f t="shared" si="31"/>
        <v>138330.92552631578</v>
      </c>
      <c r="I38" s="52">
        <f t="shared" si="3"/>
        <v>0</v>
      </c>
      <c r="J38" s="52"/>
      <c r="K38" s="115"/>
      <c r="L38" s="54">
        <f t="shared" si="32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798991.22257678933</v>
      </c>
      <c r="E39" s="354">
        <f t="shared" si="28"/>
        <v>44526.92552631579</v>
      </c>
      <c r="F39" s="55">
        <f t="shared" si="29"/>
        <v>754464.29705047351</v>
      </c>
      <c r="G39" s="355">
        <f t="shared" si="30"/>
        <v>133102.92552631578</v>
      </c>
      <c r="H39" s="337">
        <f t="shared" si="31"/>
        <v>133102.92552631578</v>
      </c>
      <c r="I39" s="52">
        <f t="shared" si="3"/>
        <v>0</v>
      </c>
      <c r="J39" s="52"/>
      <c r="K39" s="115"/>
      <c r="L39" s="54">
        <f t="shared" si="32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754464.29705047351</v>
      </c>
      <c r="E40" s="354">
        <f t="shared" si="28"/>
        <v>44526.92552631579</v>
      </c>
      <c r="F40" s="55">
        <f t="shared" si="29"/>
        <v>709937.3715241577</v>
      </c>
      <c r="G40" s="355">
        <f t="shared" si="30"/>
        <v>127875.92552631578</v>
      </c>
      <c r="H40" s="337">
        <f t="shared" si="31"/>
        <v>127875.92552631578</v>
      </c>
      <c r="I40" s="52">
        <f t="shared" si="3"/>
        <v>0</v>
      </c>
      <c r="J40" s="52"/>
      <c r="K40" s="115"/>
      <c r="L40" s="54">
        <f t="shared" si="32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709937.3715241577</v>
      </c>
      <c r="E41" s="354">
        <f t="shared" si="28"/>
        <v>44526.92552631579</v>
      </c>
      <c r="F41" s="55">
        <f t="shared" si="29"/>
        <v>665410.44599784189</v>
      </c>
      <c r="G41" s="355">
        <f t="shared" si="30"/>
        <v>122647.92552631578</v>
      </c>
      <c r="H41" s="337">
        <f t="shared" si="31"/>
        <v>122647.92552631578</v>
      </c>
      <c r="I41" s="52">
        <f t="shared" si="3"/>
        <v>0</v>
      </c>
      <c r="J41" s="52"/>
      <c r="K41" s="115"/>
      <c r="L41" s="54">
        <f t="shared" si="32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665410.44599784189</v>
      </c>
      <c r="E42" s="354">
        <f t="shared" si="28"/>
        <v>44526.92552631579</v>
      </c>
      <c r="F42" s="55">
        <f t="shared" si="29"/>
        <v>620883.52047152608</v>
      </c>
      <c r="G42" s="355">
        <f t="shared" si="30"/>
        <v>117419.92552631578</v>
      </c>
      <c r="H42" s="337">
        <f t="shared" si="31"/>
        <v>117419.92552631578</v>
      </c>
      <c r="I42" s="52">
        <f t="shared" si="3"/>
        <v>0</v>
      </c>
      <c r="J42" s="52"/>
      <c r="K42" s="115"/>
      <c r="L42" s="54">
        <f t="shared" si="32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620883.52047152608</v>
      </c>
      <c r="E43" s="354">
        <f t="shared" si="28"/>
        <v>44526.92552631579</v>
      </c>
      <c r="F43" s="55">
        <f t="shared" si="29"/>
        <v>576356.59494521026</v>
      </c>
      <c r="G43" s="355">
        <f t="shared" si="30"/>
        <v>112192.92552631578</v>
      </c>
      <c r="H43" s="337">
        <f t="shared" si="31"/>
        <v>112192.92552631578</v>
      </c>
      <c r="I43" s="52">
        <f t="shared" si="3"/>
        <v>0</v>
      </c>
      <c r="J43" s="52"/>
      <c r="K43" s="115"/>
      <c r="L43" s="54">
        <f t="shared" si="32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576356.59494521026</v>
      </c>
      <c r="E44" s="354">
        <f t="shared" si="28"/>
        <v>44526.92552631579</v>
      </c>
      <c r="F44" s="55">
        <f t="shared" si="29"/>
        <v>531829.66941889445</v>
      </c>
      <c r="G44" s="355">
        <f t="shared" si="30"/>
        <v>106964.92552631578</v>
      </c>
      <c r="H44" s="337">
        <f t="shared" si="31"/>
        <v>106964.92552631578</v>
      </c>
      <c r="I44" s="52">
        <f t="shared" si="3"/>
        <v>0</v>
      </c>
      <c r="J44" s="52"/>
      <c r="K44" s="115"/>
      <c r="L44" s="54">
        <f t="shared" si="32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531829.66941889445</v>
      </c>
      <c r="E45" s="354">
        <f t="shared" si="28"/>
        <v>44526.92552631579</v>
      </c>
      <c r="F45" s="55">
        <f t="shared" si="29"/>
        <v>487302.74389257864</v>
      </c>
      <c r="G45" s="355">
        <f t="shared" si="30"/>
        <v>101737.92552631578</v>
      </c>
      <c r="H45" s="337">
        <f t="shared" si="31"/>
        <v>101737.92552631578</v>
      </c>
      <c r="I45" s="52">
        <f t="shared" si="3"/>
        <v>0</v>
      </c>
      <c r="J45" s="52"/>
      <c r="K45" s="115"/>
      <c r="L45" s="54">
        <f t="shared" si="32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487302.74389257864</v>
      </c>
      <c r="E46" s="354">
        <f t="shared" si="28"/>
        <v>44526.92552631579</v>
      </c>
      <c r="F46" s="55">
        <f t="shared" si="29"/>
        <v>442775.81836626283</v>
      </c>
      <c r="G46" s="355">
        <f t="shared" si="30"/>
        <v>96509.925526315783</v>
      </c>
      <c r="H46" s="337">
        <f t="shared" si="31"/>
        <v>96509.925526315783</v>
      </c>
      <c r="I46" s="52">
        <f t="shared" si="3"/>
        <v>0</v>
      </c>
      <c r="J46" s="52"/>
      <c r="K46" s="115"/>
      <c r="L46" s="54">
        <f t="shared" si="32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442775.81836626283</v>
      </c>
      <c r="E47" s="354">
        <f t="shared" si="28"/>
        <v>44526.92552631579</v>
      </c>
      <c r="F47" s="55">
        <f t="shared" si="29"/>
        <v>398248.89283994702</v>
      </c>
      <c r="G47" s="355">
        <f t="shared" si="30"/>
        <v>91281.925526315783</v>
      </c>
      <c r="H47" s="337">
        <f t="shared" si="31"/>
        <v>91281.925526315783</v>
      </c>
      <c r="I47" s="52">
        <f t="shared" si="3"/>
        <v>0</v>
      </c>
      <c r="J47" s="52"/>
      <c r="K47" s="115"/>
      <c r="L47" s="54">
        <f t="shared" si="32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398248.89283994702</v>
      </c>
      <c r="E48" s="354">
        <f t="shared" si="28"/>
        <v>44526.92552631579</v>
      </c>
      <c r="F48" s="55">
        <f t="shared" si="29"/>
        <v>353721.9673136312</v>
      </c>
      <c r="G48" s="355">
        <f t="shared" si="30"/>
        <v>86054.925526315783</v>
      </c>
      <c r="H48" s="337">
        <f t="shared" si="31"/>
        <v>86054.925526315783</v>
      </c>
      <c r="I48" s="52">
        <f t="shared" si="3"/>
        <v>0</v>
      </c>
      <c r="J48" s="52"/>
      <c r="K48" s="115"/>
      <c r="L48" s="54">
        <f t="shared" si="32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22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353721.9673136312</v>
      </c>
      <c r="E49" s="354">
        <f t="shared" si="28"/>
        <v>44526.92552631579</v>
      </c>
      <c r="F49" s="55">
        <f t="shared" si="29"/>
        <v>309195.04178731539</v>
      </c>
      <c r="G49" s="355">
        <f t="shared" si="30"/>
        <v>80826.925526315783</v>
      </c>
      <c r="H49" s="337">
        <f t="shared" si="31"/>
        <v>80826.925526315783</v>
      </c>
      <c r="I49" s="52">
        <f t="shared" si="3"/>
        <v>0</v>
      </c>
      <c r="J49" s="52"/>
      <c r="K49" s="115"/>
      <c r="L49" s="54">
        <f t="shared" si="32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22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309195.04178731539</v>
      </c>
      <c r="E50" s="354">
        <f t="shared" si="28"/>
        <v>44526.92552631579</v>
      </c>
      <c r="F50" s="55">
        <f t="shared" si="29"/>
        <v>264668.11626099958</v>
      </c>
      <c r="G50" s="355">
        <f t="shared" si="30"/>
        <v>75599.925526315783</v>
      </c>
      <c r="H50" s="337">
        <f t="shared" si="31"/>
        <v>75599.925526315783</v>
      </c>
      <c r="I50" s="52">
        <f t="shared" si="3"/>
        <v>0</v>
      </c>
      <c r="J50" s="52"/>
      <c r="K50" s="115"/>
      <c r="L50" s="54">
        <f t="shared" si="32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22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264668.11626099958</v>
      </c>
      <c r="E51" s="354">
        <f t="shared" si="28"/>
        <v>44526.92552631579</v>
      </c>
      <c r="F51" s="55">
        <f t="shared" si="29"/>
        <v>220141.1907346838</v>
      </c>
      <c r="G51" s="355">
        <f t="shared" si="30"/>
        <v>70371.925526315783</v>
      </c>
      <c r="H51" s="337">
        <f t="shared" si="31"/>
        <v>70371.925526315783</v>
      </c>
      <c r="I51" s="52">
        <f t="shared" si="3"/>
        <v>0</v>
      </c>
      <c r="J51" s="52"/>
      <c r="K51" s="115"/>
      <c r="L51" s="54">
        <f t="shared" si="32"/>
        <v>0</v>
      </c>
      <c r="M51" s="115"/>
      <c r="N51" s="54">
        <f t="shared" si="5"/>
        <v>0</v>
      </c>
      <c r="O51" s="54">
        <f t="shared" si="6"/>
        <v>0</v>
      </c>
      <c r="P51" s="1"/>
      <c r="V51" t="s">
        <v>455</v>
      </c>
    </row>
    <row r="52" spans="2:22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220141.1907346838</v>
      </c>
      <c r="E52" s="354">
        <f t="shared" si="28"/>
        <v>44526.92552631579</v>
      </c>
      <c r="F52" s="55">
        <f t="shared" si="29"/>
        <v>175614.26520836802</v>
      </c>
      <c r="G52" s="355">
        <f t="shared" si="30"/>
        <v>65144.92552631579</v>
      </c>
      <c r="H52" s="337">
        <f t="shared" si="31"/>
        <v>65144.92552631579</v>
      </c>
      <c r="I52" s="52">
        <f t="shared" si="3"/>
        <v>0</v>
      </c>
      <c r="J52" s="52"/>
      <c r="K52" s="115"/>
      <c r="L52" s="54">
        <f t="shared" si="32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22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175614.26520836802</v>
      </c>
      <c r="E53" s="354">
        <f t="shared" si="28"/>
        <v>44526.92552631579</v>
      </c>
      <c r="F53" s="55">
        <f t="shared" si="29"/>
        <v>131087.33968205223</v>
      </c>
      <c r="G53" s="355">
        <f t="shared" si="30"/>
        <v>59916.92552631579</v>
      </c>
      <c r="H53" s="337">
        <f t="shared" si="31"/>
        <v>59916.92552631579</v>
      </c>
      <c r="I53" s="52">
        <f t="shared" si="3"/>
        <v>0</v>
      </c>
      <c r="J53" s="52"/>
      <c r="K53" s="115"/>
      <c r="L53" s="54">
        <f t="shared" si="32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22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131087.33968205223</v>
      </c>
      <c r="E54" s="354">
        <f t="shared" si="28"/>
        <v>44526.92552631579</v>
      </c>
      <c r="F54" s="55">
        <f t="shared" si="29"/>
        <v>86560.414155736449</v>
      </c>
      <c r="G54" s="355">
        <f t="shared" si="30"/>
        <v>54688.92552631579</v>
      </c>
      <c r="H54" s="337">
        <f t="shared" si="31"/>
        <v>54688.92552631579</v>
      </c>
      <c r="I54" s="52">
        <f t="shared" si="3"/>
        <v>0</v>
      </c>
      <c r="J54" s="52"/>
      <c r="K54" s="115"/>
      <c r="L54" s="54">
        <f t="shared" si="32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22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86560.414155736449</v>
      </c>
      <c r="E55" s="354">
        <f t="shared" si="28"/>
        <v>44526.92552631579</v>
      </c>
      <c r="F55" s="55">
        <f t="shared" si="29"/>
        <v>42033.488629420659</v>
      </c>
      <c r="G55" s="355">
        <f t="shared" si="30"/>
        <v>49461.92552631579</v>
      </c>
      <c r="H55" s="337">
        <f t="shared" si="31"/>
        <v>49461.92552631579</v>
      </c>
      <c r="I55" s="52">
        <f t="shared" si="3"/>
        <v>0</v>
      </c>
      <c r="J55" s="52"/>
      <c r="K55" s="115"/>
      <c r="L55" s="54">
        <f t="shared" si="32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22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42033.488629420659</v>
      </c>
      <c r="E56" s="354">
        <f t="shared" si="28"/>
        <v>42033.488629420659</v>
      </c>
      <c r="F56" s="55">
        <f t="shared" si="29"/>
        <v>0</v>
      </c>
      <c r="G56" s="355">
        <f t="shared" si="30"/>
        <v>42033.488629420659</v>
      </c>
      <c r="H56" s="337">
        <f t="shared" si="31"/>
        <v>42033.488629420659</v>
      </c>
      <c r="I56" s="52">
        <f t="shared" si="3"/>
        <v>0</v>
      </c>
      <c r="J56" s="52"/>
      <c r="K56" s="115"/>
      <c r="L56" s="54">
        <f t="shared" si="32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22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0</v>
      </c>
      <c r="E57" s="354">
        <f t="shared" si="28"/>
        <v>0</v>
      </c>
      <c r="F57" s="55">
        <f t="shared" si="29"/>
        <v>0</v>
      </c>
      <c r="G57" s="355">
        <f t="shared" si="30"/>
        <v>0</v>
      </c>
      <c r="H57" s="337">
        <f t="shared" si="31"/>
        <v>0</v>
      </c>
      <c r="I57" s="52">
        <f t="shared" si="3"/>
        <v>0</v>
      </c>
      <c r="J57" s="52"/>
      <c r="K57" s="115"/>
      <c r="L57" s="54">
        <f t="shared" si="32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22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0</v>
      </c>
      <c r="E58" s="354">
        <f t="shared" si="28"/>
        <v>0</v>
      </c>
      <c r="F58" s="55">
        <f t="shared" si="29"/>
        <v>0</v>
      </c>
      <c r="G58" s="355">
        <f t="shared" si="30"/>
        <v>0</v>
      </c>
      <c r="H58" s="337">
        <f t="shared" si="31"/>
        <v>0</v>
      </c>
      <c r="I58" s="52">
        <f t="shared" si="3"/>
        <v>0</v>
      </c>
      <c r="J58" s="52"/>
      <c r="K58" s="115"/>
      <c r="L58" s="54">
        <f t="shared" si="32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22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0</v>
      </c>
      <c r="E59" s="354">
        <f t="shared" si="28"/>
        <v>0</v>
      </c>
      <c r="F59" s="55">
        <f t="shared" si="29"/>
        <v>0</v>
      </c>
      <c r="G59" s="355">
        <f t="shared" si="30"/>
        <v>0</v>
      </c>
      <c r="H59" s="337">
        <f t="shared" si="31"/>
        <v>0</v>
      </c>
      <c r="I59" s="52">
        <f t="shared" si="3"/>
        <v>0</v>
      </c>
      <c r="J59" s="52"/>
      <c r="K59" s="115"/>
      <c r="L59" s="54">
        <f t="shared" si="32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22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54">
        <f t="shared" si="28"/>
        <v>0</v>
      </c>
      <c r="F60" s="55">
        <f t="shared" si="29"/>
        <v>0</v>
      </c>
      <c r="G60" s="355">
        <f t="shared" si="30"/>
        <v>0</v>
      </c>
      <c r="H60" s="337">
        <f t="shared" si="31"/>
        <v>0</v>
      </c>
      <c r="I60" s="52">
        <f t="shared" si="3"/>
        <v>0</v>
      </c>
      <c r="J60" s="52"/>
      <c r="K60" s="115"/>
      <c r="L60" s="54">
        <f t="shared" si="32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22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54">
        <f t="shared" si="28"/>
        <v>0</v>
      </c>
      <c r="F61" s="55">
        <f t="shared" si="29"/>
        <v>0</v>
      </c>
      <c r="G61" s="355">
        <f t="shared" si="30"/>
        <v>0</v>
      </c>
      <c r="H61" s="337">
        <f t="shared" si="31"/>
        <v>0</v>
      </c>
      <c r="I61" s="52">
        <f t="shared" si="3"/>
        <v>0</v>
      </c>
      <c r="J61" s="52"/>
      <c r="K61" s="115"/>
      <c r="L61" s="54">
        <f t="shared" si="32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22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54">
        <f t="shared" si="28"/>
        <v>0</v>
      </c>
      <c r="F62" s="55">
        <f t="shared" si="29"/>
        <v>0</v>
      </c>
      <c r="G62" s="355">
        <f t="shared" si="30"/>
        <v>0</v>
      </c>
      <c r="H62" s="337">
        <f t="shared" si="31"/>
        <v>0</v>
      </c>
      <c r="I62" s="52">
        <f t="shared" si="3"/>
        <v>0</v>
      </c>
      <c r="J62" s="52"/>
      <c r="K62" s="115"/>
      <c r="L62" s="54">
        <f t="shared" si="32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22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54">
        <f t="shared" si="28"/>
        <v>0</v>
      </c>
      <c r="F63" s="55">
        <f t="shared" si="29"/>
        <v>0</v>
      </c>
      <c r="G63" s="355">
        <f t="shared" si="30"/>
        <v>0</v>
      </c>
      <c r="H63" s="337">
        <f t="shared" si="31"/>
        <v>0</v>
      </c>
      <c r="I63" s="52">
        <f t="shared" si="3"/>
        <v>0</v>
      </c>
      <c r="J63" s="52"/>
      <c r="K63" s="115"/>
      <c r="L63" s="54">
        <f t="shared" si="32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22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54">
        <f t="shared" si="28"/>
        <v>0</v>
      </c>
      <c r="F64" s="55">
        <f t="shared" si="29"/>
        <v>0</v>
      </c>
      <c r="G64" s="355">
        <f t="shared" si="30"/>
        <v>0</v>
      </c>
      <c r="H64" s="337">
        <f t="shared" si="31"/>
        <v>0</v>
      </c>
      <c r="I64" s="52">
        <f t="shared" si="3"/>
        <v>0</v>
      </c>
      <c r="J64" s="52"/>
      <c r="K64" s="115"/>
      <c r="L64" s="54">
        <f t="shared" si="32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54">
        <f t="shared" si="28"/>
        <v>0</v>
      </c>
      <c r="F65" s="55">
        <f t="shared" si="29"/>
        <v>0</v>
      </c>
      <c r="G65" s="355">
        <f t="shared" si="30"/>
        <v>0</v>
      </c>
      <c r="H65" s="337">
        <f t="shared" si="31"/>
        <v>0</v>
      </c>
      <c r="I65" s="52">
        <f t="shared" si="3"/>
        <v>0</v>
      </c>
      <c r="J65" s="52"/>
      <c r="K65" s="115"/>
      <c r="L65" s="54">
        <f t="shared" si="32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54">
        <f t="shared" si="28"/>
        <v>0</v>
      </c>
      <c r="F66" s="55">
        <f t="shared" si="29"/>
        <v>0</v>
      </c>
      <c r="G66" s="355">
        <f t="shared" si="30"/>
        <v>0</v>
      </c>
      <c r="H66" s="337">
        <f t="shared" si="31"/>
        <v>0</v>
      </c>
      <c r="I66" s="52">
        <f t="shared" si="3"/>
        <v>0</v>
      </c>
      <c r="J66" s="52"/>
      <c r="K66" s="115"/>
      <c r="L66" s="54">
        <f t="shared" si="32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54">
        <f t="shared" si="28"/>
        <v>0</v>
      </c>
      <c r="F67" s="55">
        <f t="shared" si="29"/>
        <v>0</v>
      </c>
      <c r="G67" s="355">
        <f t="shared" si="30"/>
        <v>0</v>
      </c>
      <c r="H67" s="337">
        <f t="shared" si="31"/>
        <v>0</v>
      </c>
      <c r="I67" s="52">
        <f t="shared" si="3"/>
        <v>0</v>
      </c>
      <c r="J67" s="52"/>
      <c r="K67" s="115"/>
      <c r="L67" s="54">
        <f t="shared" si="32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54">
        <f t="shared" si="28"/>
        <v>0</v>
      </c>
      <c r="F68" s="55">
        <f t="shared" si="29"/>
        <v>0</v>
      </c>
      <c r="G68" s="355">
        <f t="shared" si="30"/>
        <v>0</v>
      </c>
      <c r="H68" s="337">
        <f t="shared" si="31"/>
        <v>0</v>
      </c>
      <c r="I68" s="52">
        <f t="shared" si="3"/>
        <v>0</v>
      </c>
      <c r="J68" s="52"/>
      <c r="K68" s="115"/>
      <c r="L68" s="54">
        <f t="shared" si="32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54">
        <f t="shared" si="28"/>
        <v>0</v>
      </c>
      <c r="F69" s="55">
        <f t="shared" si="29"/>
        <v>0</v>
      </c>
      <c r="G69" s="355">
        <f t="shared" si="30"/>
        <v>0</v>
      </c>
      <c r="H69" s="337">
        <f t="shared" si="31"/>
        <v>0</v>
      </c>
      <c r="I69" s="52">
        <f t="shared" si="3"/>
        <v>0</v>
      </c>
      <c r="J69" s="52"/>
      <c r="K69" s="115"/>
      <c r="L69" s="54">
        <f t="shared" si="32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54">
        <f t="shared" si="28"/>
        <v>0</v>
      </c>
      <c r="F70" s="55">
        <f t="shared" si="29"/>
        <v>0</v>
      </c>
      <c r="G70" s="355">
        <f t="shared" si="30"/>
        <v>0</v>
      </c>
      <c r="H70" s="337">
        <f t="shared" si="31"/>
        <v>0</v>
      </c>
      <c r="I70" s="52">
        <f t="shared" si="3"/>
        <v>0</v>
      </c>
      <c r="J70" s="52"/>
      <c r="K70" s="115"/>
      <c r="L70" s="54">
        <f t="shared" si="32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54">
        <f t="shared" si="28"/>
        <v>0</v>
      </c>
      <c r="F71" s="55">
        <f t="shared" si="29"/>
        <v>0</v>
      </c>
      <c r="G71" s="355">
        <f t="shared" si="30"/>
        <v>0</v>
      </c>
      <c r="H71" s="337">
        <f t="shared" si="31"/>
        <v>0</v>
      </c>
      <c r="I71" s="52">
        <f t="shared" si="3"/>
        <v>0</v>
      </c>
      <c r="J71" s="52"/>
      <c r="K71" s="115"/>
      <c r="L71" s="54">
        <f t="shared" si="32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2070</v>
      </c>
      <c r="D72" s="59">
        <f>IF(F71+SUM(E$17:E71)=D$10,F71,D$10-SUM(E$17:E71))</f>
        <v>0</v>
      </c>
      <c r="E72" s="357">
        <f t="shared" si="28"/>
        <v>0</v>
      </c>
      <c r="F72" s="59">
        <f t="shared" si="29"/>
        <v>0</v>
      </c>
      <c r="G72" s="382">
        <f t="shared" si="30"/>
        <v>0</v>
      </c>
      <c r="H72" s="335">
        <f t="shared" si="31"/>
        <v>0</v>
      </c>
      <c r="I72" s="61">
        <f t="shared" si="3"/>
        <v>0</v>
      </c>
      <c r="J72" s="52"/>
      <c r="K72" s="116"/>
      <c r="L72" s="62">
        <f t="shared" si="32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7"/>
      <c r="E73" s="267">
        <f>SUM(E17:E72)</f>
        <v>1692023.1700000002</v>
      </c>
      <c r="F73" s="267"/>
      <c r="G73" s="267">
        <f>SUM(G17:G72)</f>
        <v>5752472.7270485107</v>
      </c>
      <c r="H73" s="267">
        <f>SUM(H17:H72)</f>
        <v>5752472.7270485107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17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196177.92552631578</v>
      </c>
      <c r="N87" s="364">
        <f>IF(J92&lt;D11,0,VLOOKUP(J92,C17:O72,11))</f>
        <v>196177.92552631578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225460.43637865048</v>
      </c>
      <c r="N88" s="367">
        <f>IF(J92&lt;D11,0,VLOOKUP(J92,C99:P154,7))</f>
        <v>225460.43637865048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Grady Customer Connection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29282.510852334701</v>
      </c>
      <c r="N89" s="369">
        <f>+N88-N87</f>
        <v>29282.510852334701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TP2013002</v>
      </c>
      <c r="E91" s="74" t="str">
        <f>E9</f>
        <v xml:space="preserve">  SPP Project ID = 30748</v>
      </c>
      <c r="F91" s="74"/>
      <c r="G91" s="74"/>
      <c r="H91" s="74"/>
      <c r="I91" s="74"/>
      <c r="J91" s="74"/>
    </row>
    <row r="92" spans="1:16" ht="13">
      <c r="C92" s="128" t="s">
        <v>226</v>
      </c>
      <c r="D92" s="434">
        <v>1692023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45730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2015</v>
      </c>
      <c r="D99" s="411">
        <v>0</v>
      </c>
      <c r="E99" s="433">
        <v>0</v>
      </c>
      <c r="F99" s="411">
        <v>1625288</v>
      </c>
      <c r="G99" s="433">
        <v>812644</v>
      </c>
      <c r="H99" s="414">
        <v>110878.7398202499</v>
      </c>
      <c r="I99" s="432">
        <v>110878.7398202499</v>
      </c>
      <c r="J99" s="54">
        <f>+I99-H99</f>
        <v>0</v>
      </c>
      <c r="K99" s="54"/>
      <c r="L99" s="117">
        <f>+H99</f>
        <v>110878.7398202499</v>
      </c>
      <c r="M99" s="53">
        <f t="shared" ref="M99:M130" si="33">IF(L99&lt;&gt;0,+H99-L99,0)</f>
        <v>0</v>
      </c>
      <c r="N99" s="117">
        <f>+I99</f>
        <v>110878.7398202499</v>
      </c>
      <c r="O99" s="53">
        <f t="shared" ref="O99:O130" si="34">IF(N99&lt;&gt;0,+I99-N99,0)</f>
        <v>0</v>
      </c>
      <c r="P99" s="53">
        <f t="shared" ref="P99:P130" si="35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11">
        <v>1692023</v>
      </c>
      <c r="E100" s="412">
        <v>36783</v>
      </c>
      <c r="F100" s="413">
        <v>1655240</v>
      </c>
      <c r="G100" s="413">
        <v>1673631.5</v>
      </c>
      <c r="H100" s="431">
        <v>252540.45816220198</v>
      </c>
      <c r="I100" s="432">
        <v>252540.45816220198</v>
      </c>
      <c r="J100" s="54">
        <f>+I100-H100</f>
        <v>0</v>
      </c>
      <c r="K100" s="54"/>
      <c r="L100" s="324">
        <f t="shared" ref="L100:L105" si="36">H100</f>
        <v>252540.45816220198</v>
      </c>
      <c r="M100" s="63">
        <f t="shared" ref="M100:M105" si="37">IF(L100&lt;&gt;0,+H100-L100,0)</f>
        <v>0</v>
      </c>
      <c r="N100" s="324">
        <f t="shared" ref="N100:N105" si="38">I100</f>
        <v>252540.45816220198</v>
      </c>
      <c r="O100" s="54">
        <f>IF(N100&lt;&gt;0,+I100-N100,0)</f>
        <v>0</v>
      </c>
      <c r="P100" s="52">
        <f>+O100-M100</f>
        <v>0</v>
      </c>
    </row>
    <row r="101" spans="1:16" ht="12.5">
      <c r="B101" s="7" t="str">
        <f t="shared" ref="B101:B154" si="39">IF(D101=F100,"","IU")</f>
        <v/>
      </c>
      <c r="C101" s="50">
        <f>IF(D93="","-",+C100+1)</f>
        <v>2017</v>
      </c>
      <c r="D101" s="411">
        <v>1655240</v>
      </c>
      <c r="E101" s="412">
        <v>36783</v>
      </c>
      <c r="F101" s="413">
        <v>1618457</v>
      </c>
      <c r="G101" s="413">
        <v>1636848.5</v>
      </c>
      <c r="H101" s="431">
        <v>244421.35953995908</v>
      </c>
      <c r="I101" s="432">
        <v>244421.35953995908</v>
      </c>
      <c r="J101" s="54">
        <f t="shared" ref="J101:J154" si="40">+I101-H101</f>
        <v>0</v>
      </c>
      <c r="K101" s="54"/>
      <c r="L101" s="324">
        <f t="shared" si="36"/>
        <v>244421.35953995908</v>
      </c>
      <c r="M101" s="63">
        <f t="shared" si="37"/>
        <v>0</v>
      </c>
      <c r="N101" s="324">
        <f t="shared" si="38"/>
        <v>244421.35953995908</v>
      </c>
      <c r="O101" s="54">
        <f>IF(N101&lt;&gt;0,+I101-N101,0)</f>
        <v>0</v>
      </c>
      <c r="P101" s="52">
        <f>+O101-M101</f>
        <v>0</v>
      </c>
    </row>
    <row r="102" spans="1:16" ht="12.5">
      <c r="B102" s="7" t="str">
        <f t="shared" si="39"/>
        <v/>
      </c>
      <c r="C102" s="50">
        <f>IF(D93="","-",+C101+1)</f>
        <v>2018</v>
      </c>
      <c r="D102" s="411">
        <v>1618457</v>
      </c>
      <c r="E102" s="412">
        <v>39349</v>
      </c>
      <c r="F102" s="413">
        <v>1579108</v>
      </c>
      <c r="G102" s="413">
        <v>1598782.5</v>
      </c>
      <c r="H102" s="431">
        <v>203600.82637045698</v>
      </c>
      <c r="I102" s="432">
        <v>203600.82637045698</v>
      </c>
      <c r="J102" s="54">
        <f t="shared" si="40"/>
        <v>0</v>
      </c>
      <c r="K102" s="54"/>
      <c r="L102" s="324">
        <f t="shared" si="36"/>
        <v>203600.82637045698</v>
      </c>
      <c r="M102" s="63">
        <f t="shared" si="37"/>
        <v>0</v>
      </c>
      <c r="N102" s="324">
        <f t="shared" si="38"/>
        <v>203600.82637045698</v>
      </c>
      <c r="O102" s="54">
        <f>IF(N102&lt;&gt;0,+I102-N102,0)</f>
        <v>0</v>
      </c>
      <c r="P102" s="52">
        <f>+O102-M102</f>
        <v>0</v>
      </c>
    </row>
    <row r="103" spans="1:16" ht="12.5">
      <c r="B103" s="7" t="str">
        <f t="shared" si="39"/>
        <v/>
      </c>
      <c r="C103" s="50">
        <f>IF(D93="","-",+C102+1)</f>
        <v>2019</v>
      </c>
      <c r="D103" s="411">
        <v>1579108</v>
      </c>
      <c r="E103" s="412">
        <v>41269</v>
      </c>
      <c r="F103" s="413">
        <v>1537839</v>
      </c>
      <c r="G103" s="413">
        <v>1558473.5</v>
      </c>
      <c r="H103" s="431">
        <v>201969.47712497122</v>
      </c>
      <c r="I103" s="432">
        <v>201969.47712497122</v>
      </c>
      <c r="J103" s="54">
        <f t="shared" si="40"/>
        <v>0</v>
      </c>
      <c r="K103" s="54"/>
      <c r="L103" s="324">
        <f t="shared" si="36"/>
        <v>201969.47712497122</v>
      </c>
      <c r="M103" s="63">
        <f t="shared" si="37"/>
        <v>0</v>
      </c>
      <c r="N103" s="324">
        <f t="shared" si="38"/>
        <v>201969.47712497122</v>
      </c>
      <c r="O103" s="54">
        <f t="shared" si="34"/>
        <v>0</v>
      </c>
      <c r="P103" s="54">
        <f t="shared" si="35"/>
        <v>0</v>
      </c>
    </row>
    <row r="104" spans="1:16" ht="12.5">
      <c r="B104" s="7" t="str">
        <f t="shared" si="39"/>
        <v/>
      </c>
      <c r="C104" s="50">
        <f>IF(D93="","-",+C103+1)</f>
        <v>2020</v>
      </c>
      <c r="D104" s="411">
        <v>1537839</v>
      </c>
      <c r="E104" s="412">
        <v>39349</v>
      </c>
      <c r="F104" s="413">
        <v>1498490</v>
      </c>
      <c r="G104" s="413">
        <v>1518164.5</v>
      </c>
      <c r="H104" s="431">
        <v>214389.19300086203</v>
      </c>
      <c r="I104" s="432">
        <v>214389.19300086203</v>
      </c>
      <c r="J104" s="54">
        <f t="shared" si="40"/>
        <v>0</v>
      </c>
      <c r="K104" s="54"/>
      <c r="L104" s="324">
        <f t="shared" si="36"/>
        <v>214389.19300086203</v>
      </c>
      <c r="M104" s="63">
        <f t="shared" si="37"/>
        <v>0</v>
      </c>
      <c r="N104" s="324">
        <f t="shared" si="38"/>
        <v>214389.19300086203</v>
      </c>
      <c r="O104" s="54">
        <f t="shared" si="34"/>
        <v>0</v>
      </c>
      <c r="P104" s="54">
        <f t="shared" si="35"/>
        <v>0</v>
      </c>
    </row>
    <row r="105" spans="1:16" ht="12.5">
      <c r="B105" s="7" t="str">
        <f t="shared" si="39"/>
        <v/>
      </c>
      <c r="C105" s="50">
        <f>IF(D93="","-",+C104+1)</f>
        <v>2021</v>
      </c>
      <c r="D105" s="411">
        <v>1498490</v>
      </c>
      <c r="E105" s="412">
        <v>41269</v>
      </c>
      <c r="F105" s="413">
        <v>1457221</v>
      </c>
      <c r="G105" s="413">
        <v>1477855.5</v>
      </c>
      <c r="H105" s="431">
        <v>209438.30504191047</v>
      </c>
      <c r="I105" s="432">
        <v>209438.30504191047</v>
      </c>
      <c r="J105" s="54">
        <f t="shared" si="40"/>
        <v>0</v>
      </c>
      <c r="K105" s="54"/>
      <c r="L105" s="324">
        <f t="shared" si="36"/>
        <v>209438.30504191047</v>
      </c>
      <c r="M105" s="63">
        <f t="shared" si="37"/>
        <v>0</v>
      </c>
      <c r="N105" s="324">
        <f t="shared" si="38"/>
        <v>209438.30504191047</v>
      </c>
      <c r="O105" s="54">
        <f t="shared" ref="O105" si="41">IF(N105&lt;&gt;0,+I105-N105,0)</f>
        <v>0</v>
      </c>
      <c r="P105" s="54">
        <f t="shared" si="35"/>
        <v>0</v>
      </c>
    </row>
    <row r="106" spans="1:16" ht="12.5">
      <c r="B106" s="7" t="str">
        <f t="shared" si="39"/>
        <v/>
      </c>
      <c r="C106" s="450">
        <f>IF(D93="","-",+C105+1)</f>
        <v>2022</v>
      </c>
      <c r="D106" s="411">
        <v>1457221</v>
      </c>
      <c r="E106" s="412">
        <v>43385</v>
      </c>
      <c r="F106" s="413">
        <v>1413836</v>
      </c>
      <c r="G106" s="413">
        <v>1435528.5</v>
      </c>
      <c r="H106" s="431">
        <v>201555.33840860223</v>
      </c>
      <c r="I106" s="432">
        <v>201555.33840860223</v>
      </c>
      <c r="J106" s="54">
        <f t="shared" si="40"/>
        <v>0</v>
      </c>
      <c r="K106" s="54"/>
      <c r="L106" s="324">
        <f t="shared" ref="L106:L107" si="42">H106</f>
        <v>201555.33840860223</v>
      </c>
      <c r="M106" s="63">
        <f t="shared" ref="M106:M107" si="43">IF(L106&lt;&gt;0,+H106-L106,0)</f>
        <v>0</v>
      </c>
      <c r="N106" s="324">
        <f t="shared" ref="N106:N107" si="44">I106</f>
        <v>201555.33840860223</v>
      </c>
      <c r="O106" s="54">
        <f t="shared" ref="O106:O107" si="45">IF(N106&lt;&gt;0,+I106-N106,0)</f>
        <v>0</v>
      </c>
      <c r="P106" s="54">
        <f t="shared" ref="P106:P107" si="46">+O106-M106</f>
        <v>0</v>
      </c>
    </row>
    <row r="107" spans="1:16" ht="12.5">
      <c r="B107" s="7" t="str">
        <f t="shared" si="39"/>
        <v/>
      </c>
      <c r="C107" s="50">
        <f>IF(D93="","-",+C106+1)</f>
        <v>2023</v>
      </c>
      <c r="D107" s="411">
        <v>1413836</v>
      </c>
      <c r="E107" s="412">
        <v>44527</v>
      </c>
      <c r="F107" s="413">
        <v>1369309</v>
      </c>
      <c r="G107" s="413">
        <v>1391572.5</v>
      </c>
      <c r="H107" s="431">
        <v>203482.22578801587</v>
      </c>
      <c r="I107" s="432">
        <v>203482.22578801587</v>
      </c>
      <c r="J107" s="54">
        <f t="shared" si="40"/>
        <v>0</v>
      </c>
      <c r="K107" s="54"/>
      <c r="L107" s="324">
        <f t="shared" si="42"/>
        <v>203482.22578801587</v>
      </c>
      <c r="M107" s="63">
        <f t="shared" si="43"/>
        <v>0</v>
      </c>
      <c r="N107" s="324">
        <f t="shared" si="44"/>
        <v>203482.22578801587</v>
      </c>
      <c r="O107" s="54">
        <f t="shared" si="45"/>
        <v>0</v>
      </c>
      <c r="P107" s="54">
        <f t="shared" si="46"/>
        <v>0</v>
      </c>
    </row>
    <row r="108" spans="1:16" ht="12.5">
      <c r="B108" s="7" t="str">
        <f t="shared" si="39"/>
        <v>IU</v>
      </c>
      <c r="C108" s="50">
        <f>IF(D93="","-",+C107+1)</f>
        <v>2024</v>
      </c>
      <c r="D108" s="411">
        <v>1369309.1700000002</v>
      </c>
      <c r="E108" s="412">
        <v>44527</v>
      </c>
      <c r="F108" s="413">
        <v>1324782.1700000002</v>
      </c>
      <c r="G108" s="413">
        <v>1347045.6700000002</v>
      </c>
      <c r="H108" s="431">
        <v>225460.43637865048</v>
      </c>
      <c r="I108" s="432">
        <v>225460.43637865048</v>
      </c>
      <c r="J108" s="54">
        <f t="shared" si="40"/>
        <v>0</v>
      </c>
      <c r="K108" s="54"/>
      <c r="L108" s="324">
        <f t="shared" ref="L108" si="47">H108</f>
        <v>225460.43637865048</v>
      </c>
      <c r="M108" s="63">
        <f t="shared" ref="M108" si="48">IF(L108&lt;&gt;0,+H108-L108,0)</f>
        <v>0</v>
      </c>
      <c r="N108" s="324">
        <f t="shared" ref="N108" si="49">I108</f>
        <v>225460.43637865048</v>
      </c>
      <c r="O108" s="54">
        <f t="shared" ref="O108" si="50">IF(N108&lt;&gt;0,+I108-N108,0)</f>
        <v>0</v>
      </c>
      <c r="P108" s="54">
        <f t="shared" ref="P108" si="51">+O108-M108</f>
        <v>0</v>
      </c>
    </row>
    <row r="109" spans="1:16" ht="12.5">
      <c r="B109" s="7" t="str">
        <f t="shared" si="39"/>
        <v>IU</v>
      </c>
      <c r="C109" s="50">
        <f>IF(D93="","-",+C108+1)</f>
        <v>2025</v>
      </c>
      <c r="D109" s="12">
        <f>IF(F108+SUM(E$99:E108)=D$92,F108,D$92-SUM(E$99:E108))</f>
        <v>1324782</v>
      </c>
      <c r="E109" s="354">
        <f t="shared" ref="E109:E154" si="52">IF(+J$96&lt;F108,J$96,D109)</f>
        <v>45730</v>
      </c>
      <c r="F109" s="55">
        <f t="shared" ref="F109:F154" si="53">+D109-E109</f>
        <v>1279052</v>
      </c>
      <c r="G109" s="55">
        <f t="shared" ref="G109:G154" si="54">+(F109+D109)/2</f>
        <v>1301917</v>
      </c>
      <c r="H109" s="356">
        <f t="shared" ref="H109:H154" si="55">+J$94*G109+E109</f>
        <v>220601.81165118437</v>
      </c>
      <c r="I109" s="381">
        <f t="shared" ref="I109:I154" si="56">+J$95*G109+E109</f>
        <v>220601.81165118437</v>
      </c>
      <c r="J109" s="54">
        <f t="shared" si="40"/>
        <v>0</v>
      </c>
      <c r="K109" s="54"/>
      <c r="L109" s="115"/>
      <c r="M109" s="54">
        <f t="shared" si="33"/>
        <v>0</v>
      </c>
      <c r="N109" s="115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1279052</v>
      </c>
      <c r="E110" s="354">
        <f t="shared" si="52"/>
        <v>45730</v>
      </c>
      <c r="F110" s="55">
        <f t="shared" si="53"/>
        <v>1233322</v>
      </c>
      <c r="G110" s="55">
        <f t="shared" si="54"/>
        <v>1256187</v>
      </c>
      <c r="H110" s="356">
        <f t="shared" si="55"/>
        <v>214459.41705397991</v>
      </c>
      <c r="I110" s="381">
        <f t="shared" si="56"/>
        <v>214459.41705397991</v>
      </c>
      <c r="J110" s="54">
        <f t="shared" si="40"/>
        <v>0</v>
      </c>
      <c r="K110" s="54"/>
      <c r="L110" s="115"/>
      <c r="M110" s="54">
        <f t="shared" si="33"/>
        <v>0</v>
      </c>
      <c r="N110" s="115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1233322</v>
      </c>
      <c r="E111" s="354">
        <f t="shared" si="52"/>
        <v>45730</v>
      </c>
      <c r="F111" s="55">
        <f t="shared" si="53"/>
        <v>1187592</v>
      </c>
      <c r="G111" s="55">
        <f t="shared" si="54"/>
        <v>1210457</v>
      </c>
      <c r="H111" s="356">
        <f t="shared" si="55"/>
        <v>208317.02245677542</v>
      </c>
      <c r="I111" s="381">
        <f t="shared" si="56"/>
        <v>208317.02245677542</v>
      </c>
      <c r="J111" s="54">
        <f t="shared" si="40"/>
        <v>0</v>
      </c>
      <c r="K111" s="54"/>
      <c r="L111" s="115"/>
      <c r="M111" s="54">
        <f t="shared" si="33"/>
        <v>0</v>
      </c>
      <c r="N111" s="115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1187592</v>
      </c>
      <c r="E112" s="354">
        <f t="shared" si="52"/>
        <v>45730</v>
      </c>
      <c r="F112" s="55">
        <f t="shared" si="53"/>
        <v>1141862</v>
      </c>
      <c r="G112" s="55">
        <f t="shared" si="54"/>
        <v>1164727</v>
      </c>
      <c r="H112" s="356">
        <f t="shared" si="55"/>
        <v>202174.62785957093</v>
      </c>
      <c r="I112" s="381">
        <f t="shared" si="56"/>
        <v>202174.62785957093</v>
      </c>
      <c r="J112" s="54">
        <f t="shared" si="40"/>
        <v>0</v>
      </c>
      <c r="K112" s="54"/>
      <c r="L112" s="115"/>
      <c r="M112" s="54">
        <f t="shared" si="33"/>
        <v>0</v>
      </c>
      <c r="N112" s="115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1141862</v>
      </c>
      <c r="E113" s="354">
        <f t="shared" si="52"/>
        <v>45730</v>
      </c>
      <c r="F113" s="55">
        <f t="shared" si="53"/>
        <v>1096132</v>
      </c>
      <c r="G113" s="55">
        <f t="shared" si="54"/>
        <v>1118997</v>
      </c>
      <c r="H113" s="356">
        <f t="shared" si="55"/>
        <v>196032.23326236647</v>
      </c>
      <c r="I113" s="381">
        <f t="shared" si="56"/>
        <v>196032.23326236647</v>
      </c>
      <c r="J113" s="54">
        <f t="shared" si="40"/>
        <v>0</v>
      </c>
      <c r="K113" s="54"/>
      <c r="L113" s="115"/>
      <c r="M113" s="54">
        <f t="shared" si="33"/>
        <v>0</v>
      </c>
      <c r="N113" s="115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1096132</v>
      </c>
      <c r="E114" s="354">
        <f t="shared" si="52"/>
        <v>45730</v>
      </c>
      <c r="F114" s="55">
        <f t="shared" si="53"/>
        <v>1050402</v>
      </c>
      <c r="G114" s="55">
        <f t="shared" si="54"/>
        <v>1073267</v>
      </c>
      <c r="H114" s="356">
        <f t="shared" si="55"/>
        <v>189889.83866516198</v>
      </c>
      <c r="I114" s="381">
        <f t="shared" si="56"/>
        <v>189889.83866516198</v>
      </c>
      <c r="J114" s="54">
        <f t="shared" si="40"/>
        <v>0</v>
      </c>
      <c r="K114" s="54"/>
      <c r="L114" s="115"/>
      <c r="M114" s="54">
        <f t="shared" si="33"/>
        <v>0</v>
      </c>
      <c r="N114" s="115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1050402</v>
      </c>
      <c r="E115" s="354">
        <f t="shared" si="52"/>
        <v>45730</v>
      </c>
      <c r="F115" s="55">
        <f t="shared" si="53"/>
        <v>1004672</v>
      </c>
      <c r="G115" s="55">
        <f t="shared" si="54"/>
        <v>1027537</v>
      </c>
      <c r="H115" s="356">
        <f t="shared" si="55"/>
        <v>183747.44406795752</v>
      </c>
      <c r="I115" s="381">
        <f t="shared" si="56"/>
        <v>183747.44406795752</v>
      </c>
      <c r="J115" s="54">
        <f t="shared" si="40"/>
        <v>0</v>
      </c>
      <c r="K115" s="54"/>
      <c r="L115" s="115"/>
      <c r="M115" s="54">
        <f t="shared" si="33"/>
        <v>0</v>
      </c>
      <c r="N115" s="115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1004672</v>
      </c>
      <c r="E116" s="354">
        <f t="shared" si="52"/>
        <v>45730</v>
      </c>
      <c r="F116" s="55">
        <f t="shared" si="53"/>
        <v>958942</v>
      </c>
      <c r="G116" s="55">
        <f t="shared" si="54"/>
        <v>981807</v>
      </c>
      <c r="H116" s="356">
        <f t="shared" si="55"/>
        <v>177605.04947075303</v>
      </c>
      <c r="I116" s="381">
        <f t="shared" si="56"/>
        <v>177605.04947075303</v>
      </c>
      <c r="J116" s="54">
        <f t="shared" si="40"/>
        <v>0</v>
      </c>
      <c r="K116" s="54"/>
      <c r="L116" s="115"/>
      <c r="M116" s="54">
        <f t="shared" si="33"/>
        <v>0</v>
      </c>
      <c r="N116" s="115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958942</v>
      </c>
      <c r="E117" s="354">
        <f t="shared" si="52"/>
        <v>45730</v>
      </c>
      <c r="F117" s="55">
        <f t="shared" si="53"/>
        <v>913212</v>
      </c>
      <c r="G117" s="55">
        <f t="shared" si="54"/>
        <v>936077</v>
      </c>
      <c r="H117" s="356">
        <f t="shared" si="55"/>
        <v>171462.65487354854</v>
      </c>
      <c r="I117" s="381">
        <f t="shared" si="56"/>
        <v>171462.65487354854</v>
      </c>
      <c r="J117" s="54">
        <f t="shared" si="40"/>
        <v>0</v>
      </c>
      <c r="K117" s="54"/>
      <c r="L117" s="115"/>
      <c r="M117" s="54">
        <f t="shared" si="33"/>
        <v>0</v>
      </c>
      <c r="N117" s="115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913212</v>
      </c>
      <c r="E118" s="354">
        <f t="shared" si="52"/>
        <v>45730</v>
      </c>
      <c r="F118" s="55">
        <f t="shared" si="53"/>
        <v>867482</v>
      </c>
      <c r="G118" s="55">
        <f t="shared" si="54"/>
        <v>890347</v>
      </c>
      <c r="H118" s="356">
        <f t="shared" si="55"/>
        <v>165320.26027634408</v>
      </c>
      <c r="I118" s="381">
        <f t="shared" si="56"/>
        <v>165320.26027634408</v>
      </c>
      <c r="J118" s="54">
        <f t="shared" si="40"/>
        <v>0</v>
      </c>
      <c r="K118" s="54"/>
      <c r="L118" s="115"/>
      <c r="M118" s="54">
        <f t="shared" si="33"/>
        <v>0</v>
      </c>
      <c r="N118" s="115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867482</v>
      </c>
      <c r="E119" s="354">
        <f t="shared" si="52"/>
        <v>45730</v>
      </c>
      <c r="F119" s="55">
        <f t="shared" si="53"/>
        <v>821752</v>
      </c>
      <c r="G119" s="55">
        <f t="shared" si="54"/>
        <v>844617</v>
      </c>
      <c r="H119" s="356">
        <f t="shared" si="55"/>
        <v>159177.86567913962</v>
      </c>
      <c r="I119" s="381">
        <f t="shared" si="56"/>
        <v>159177.86567913962</v>
      </c>
      <c r="J119" s="54">
        <f t="shared" si="40"/>
        <v>0</v>
      </c>
      <c r="K119" s="54"/>
      <c r="L119" s="115"/>
      <c r="M119" s="54">
        <f t="shared" si="33"/>
        <v>0</v>
      </c>
      <c r="N119" s="115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821752</v>
      </c>
      <c r="E120" s="354">
        <f t="shared" si="52"/>
        <v>45730</v>
      </c>
      <c r="F120" s="55">
        <f t="shared" si="53"/>
        <v>776022</v>
      </c>
      <c r="G120" s="55">
        <f t="shared" si="54"/>
        <v>798887</v>
      </c>
      <c r="H120" s="356">
        <f t="shared" si="55"/>
        <v>153035.4710819351</v>
      </c>
      <c r="I120" s="381">
        <f t="shared" si="56"/>
        <v>153035.4710819351</v>
      </c>
      <c r="J120" s="54">
        <f t="shared" si="40"/>
        <v>0</v>
      </c>
      <c r="K120" s="54"/>
      <c r="L120" s="115"/>
      <c r="M120" s="54">
        <f t="shared" si="33"/>
        <v>0</v>
      </c>
      <c r="N120" s="115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776022</v>
      </c>
      <c r="E121" s="354">
        <f t="shared" si="52"/>
        <v>45730</v>
      </c>
      <c r="F121" s="55">
        <f t="shared" si="53"/>
        <v>730292</v>
      </c>
      <c r="G121" s="55">
        <f t="shared" si="54"/>
        <v>753157</v>
      </c>
      <c r="H121" s="356">
        <f t="shared" si="55"/>
        <v>146893.07648473064</v>
      </c>
      <c r="I121" s="381">
        <f t="shared" si="56"/>
        <v>146893.07648473064</v>
      </c>
      <c r="J121" s="54">
        <f t="shared" si="40"/>
        <v>0</v>
      </c>
      <c r="K121" s="54"/>
      <c r="L121" s="115"/>
      <c r="M121" s="54">
        <f t="shared" si="33"/>
        <v>0</v>
      </c>
      <c r="N121" s="115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730292</v>
      </c>
      <c r="E122" s="354">
        <f t="shared" si="52"/>
        <v>45730</v>
      </c>
      <c r="F122" s="55">
        <f t="shared" si="53"/>
        <v>684562</v>
      </c>
      <c r="G122" s="55">
        <f t="shared" si="54"/>
        <v>707427</v>
      </c>
      <c r="H122" s="356">
        <f t="shared" si="55"/>
        <v>140750.68188752618</v>
      </c>
      <c r="I122" s="381">
        <f t="shared" si="56"/>
        <v>140750.68188752618</v>
      </c>
      <c r="J122" s="54">
        <f t="shared" si="40"/>
        <v>0</v>
      </c>
      <c r="K122" s="54"/>
      <c r="L122" s="115"/>
      <c r="M122" s="54">
        <f t="shared" si="33"/>
        <v>0</v>
      </c>
      <c r="N122" s="115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684562</v>
      </c>
      <c r="E123" s="354">
        <f t="shared" si="52"/>
        <v>45730</v>
      </c>
      <c r="F123" s="55">
        <f t="shared" si="53"/>
        <v>638832</v>
      </c>
      <c r="G123" s="55">
        <f t="shared" si="54"/>
        <v>661697</v>
      </c>
      <c r="H123" s="356">
        <f t="shared" si="55"/>
        <v>134608.28729032169</v>
      </c>
      <c r="I123" s="381">
        <f t="shared" si="56"/>
        <v>134608.28729032169</v>
      </c>
      <c r="J123" s="54">
        <f t="shared" si="40"/>
        <v>0</v>
      </c>
      <c r="K123" s="54"/>
      <c r="L123" s="115"/>
      <c r="M123" s="54">
        <f t="shared" si="33"/>
        <v>0</v>
      </c>
      <c r="N123" s="115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638832</v>
      </c>
      <c r="E124" s="354">
        <f t="shared" si="52"/>
        <v>45730</v>
      </c>
      <c r="F124" s="55">
        <f t="shared" si="53"/>
        <v>593102</v>
      </c>
      <c r="G124" s="55">
        <f t="shared" si="54"/>
        <v>615967</v>
      </c>
      <c r="H124" s="356">
        <f t="shared" si="55"/>
        <v>128465.89269311722</v>
      </c>
      <c r="I124" s="381">
        <f t="shared" si="56"/>
        <v>128465.89269311722</v>
      </c>
      <c r="J124" s="54">
        <f t="shared" si="40"/>
        <v>0</v>
      </c>
      <c r="K124" s="54"/>
      <c r="L124" s="115"/>
      <c r="M124" s="54">
        <f t="shared" si="33"/>
        <v>0</v>
      </c>
      <c r="N124" s="115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593102</v>
      </c>
      <c r="E125" s="354">
        <f t="shared" si="52"/>
        <v>45730</v>
      </c>
      <c r="F125" s="55">
        <f t="shared" si="53"/>
        <v>547372</v>
      </c>
      <c r="G125" s="55">
        <f t="shared" si="54"/>
        <v>570237</v>
      </c>
      <c r="H125" s="356">
        <f t="shared" si="55"/>
        <v>122323.49809591274</v>
      </c>
      <c r="I125" s="381">
        <f t="shared" si="56"/>
        <v>122323.49809591274</v>
      </c>
      <c r="J125" s="54">
        <f t="shared" si="40"/>
        <v>0</v>
      </c>
      <c r="K125" s="54"/>
      <c r="L125" s="115"/>
      <c r="M125" s="54">
        <f t="shared" si="33"/>
        <v>0</v>
      </c>
      <c r="N125" s="115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547372</v>
      </c>
      <c r="E126" s="354">
        <f t="shared" si="52"/>
        <v>45730</v>
      </c>
      <c r="F126" s="55">
        <f t="shared" si="53"/>
        <v>501642</v>
      </c>
      <c r="G126" s="55">
        <f t="shared" si="54"/>
        <v>524507</v>
      </c>
      <c r="H126" s="356">
        <f t="shared" si="55"/>
        <v>116181.10349870825</v>
      </c>
      <c r="I126" s="381">
        <f t="shared" si="56"/>
        <v>116181.10349870825</v>
      </c>
      <c r="J126" s="54">
        <f t="shared" si="40"/>
        <v>0</v>
      </c>
      <c r="K126" s="54"/>
      <c r="L126" s="115"/>
      <c r="M126" s="54">
        <f t="shared" si="33"/>
        <v>0</v>
      </c>
      <c r="N126" s="115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501642</v>
      </c>
      <c r="E127" s="354">
        <f t="shared" si="52"/>
        <v>45730</v>
      </c>
      <c r="F127" s="55">
        <f t="shared" si="53"/>
        <v>455912</v>
      </c>
      <c r="G127" s="55">
        <f t="shared" si="54"/>
        <v>478777</v>
      </c>
      <c r="H127" s="356">
        <f t="shared" si="55"/>
        <v>110038.70890150379</v>
      </c>
      <c r="I127" s="381">
        <f t="shared" si="56"/>
        <v>110038.70890150379</v>
      </c>
      <c r="J127" s="54">
        <f t="shared" si="40"/>
        <v>0</v>
      </c>
      <c r="K127" s="54"/>
      <c r="L127" s="115"/>
      <c r="M127" s="54">
        <f t="shared" si="33"/>
        <v>0</v>
      </c>
      <c r="N127" s="115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455912</v>
      </c>
      <c r="E128" s="354">
        <f t="shared" si="52"/>
        <v>45730</v>
      </c>
      <c r="F128" s="55">
        <f t="shared" si="53"/>
        <v>410182</v>
      </c>
      <c r="G128" s="55">
        <f t="shared" si="54"/>
        <v>433047</v>
      </c>
      <c r="H128" s="356">
        <f t="shared" si="55"/>
        <v>103896.3143042993</v>
      </c>
      <c r="I128" s="381">
        <f t="shared" si="56"/>
        <v>103896.3143042993</v>
      </c>
      <c r="J128" s="54">
        <f t="shared" si="40"/>
        <v>0</v>
      </c>
      <c r="K128" s="54"/>
      <c r="L128" s="115"/>
      <c r="M128" s="54">
        <f t="shared" si="33"/>
        <v>0</v>
      </c>
      <c r="N128" s="115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410182</v>
      </c>
      <c r="E129" s="354">
        <f t="shared" si="52"/>
        <v>45730</v>
      </c>
      <c r="F129" s="55">
        <f t="shared" si="53"/>
        <v>364452</v>
      </c>
      <c r="G129" s="55">
        <f t="shared" si="54"/>
        <v>387317</v>
      </c>
      <c r="H129" s="356">
        <f t="shared" si="55"/>
        <v>97753.919707094828</v>
      </c>
      <c r="I129" s="381">
        <f t="shared" si="56"/>
        <v>97753.919707094828</v>
      </c>
      <c r="J129" s="54">
        <f t="shared" si="40"/>
        <v>0</v>
      </c>
      <c r="K129" s="54"/>
      <c r="L129" s="115"/>
      <c r="M129" s="54">
        <f t="shared" si="33"/>
        <v>0</v>
      </c>
      <c r="N129" s="115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364452</v>
      </c>
      <c r="E130" s="354">
        <f t="shared" si="52"/>
        <v>45730</v>
      </c>
      <c r="F130" s="55">
        <f t="shared" si="53"/>
        <v>318722</v>
      </c>
      <c r="G130" s="55">
        <f t="shared" si="54"/>
        <v>341587</v>
      </c>
      <c r="H130" s="356">
        <f t="shared" si="55"/>
        <v>91611.525109890354</v>
      </c>
      <c r="I130" s="381">
        <f t="shared" si="56"/>
        <v>91611.525109890354</v>
      </c>
      <c r="J130" s="54">
        <f t="shared" si="40"/>
        <v>0</v>
      </c>
      <c r="K130" s="54"/>
      <c r="L130" s="115"/>
      <c r="M130" s="54">
        <f t="shared" si="33"/>
        <v>0</v>
      </c>
      <c r="N130" s="115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318722</v>
      </c>
      <c r="E131" s="354">
        <f t="shared" si="52"/>
        <v>45730</v>
      </c>
      <c r="F131" s="55">
        <f t="shared" si="53"/>
        <v>272992</v>
      </c>
      <c r="G131" s="55">
        <f t="shared" si="54"/>
        <v>295857</v>
      </c>
      <c r="H131" s="356">
        <f t="shared" si="55"/>
        <v>85469.130512685864</v>
      </c>
      <c r="I131" s="381">
        <f t="shared" si="56"/>
        <v>85469.130512685864</v>
      </c>
      <c r="J131" s="54">
        <f t="shared" si="40"/>
        <v>0</v>
      </c>
      <c r="K131" s="54"/>
      <c r="L131" s="115"/>
      <c r="M131" s="54">
        <f t="shared" ref="M131:M154" si="57">IF(L540&lt;&gt;0,+H540-L540,0)</f>
        <v>0</v>
      </c>
      <c r="N131" s="115"/>
      <c r="O131" s="54">
        <f t="shared" ref="O131:O154" si="58">IF(N540&lt;&gt;0,+I540-N540,0)</f>
        <v>0</v>
      </c>
      <c r="P131" s="54">
        <f t="shared" ref="P131:P154" si="59">+O540-M540</f>
        <v>0</v>
      </c>
    </row>
    <row r="132" spans="2:16" ht="12.5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272992</v>
      </c>
      <c r="E132" s="354">
        <f t="shared" si="52"/>
        <v>45730</v>
      </c>
      <c r="F132" s="55">
        <f t="shared" si="53"/>
        <v>227262</v>
      </c>
      <c r="G132" s="55">
        <f t="shared" si="54"/>
        <v>250127</v>
      </c>
      <c r="H132" s="356">
        <f t="shared" si="55"/>
        <v>79326.735915481404</v>
      </c>
      <c r="I132" s="381">
        <f t="shared" si="56"/>
        <v>79326.735915481404</v>
      </c>
      <c r="J132" s="54">
        <f t="shared" si="40"/>
        <v>0</v>
      </c>
      <c r="K132" s="54"/>
      <c r="L132" s="115"/>
      <c r="M132" s="54">
        <f t="shared" si="57"/>
        <v>0</v>
      </c>
      <c r="N132" s="115"/>
      <c r="O132" s="54">
        <f t="shared" si="58"/>
        <v>0</v>
      </c>
      <c r="P132" s="54">
        <f t="shared" si="59"/>
        <v>0</v>
      </c>
    </row>
    <row r="133" spans="2:16" ht="12.5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227262</v>
      </c>
      <c r="E133" s="354">
        <f t="shared" si="52"/>
        <v>45730</v>
      </c>
      <c r="F133" s="55">
        <f t="shared" si="53"/>
        <v>181532</v>
      </c>
      <c r="G133" s="55">
        <f t="shared" si="54"/>
        <v>204397</v>
      </c>
      <c r="H133" s="356">
        <f t="shared" si="55"/>
        <v>73184.341318276915</v>
      </c>
      <c r="I133" s="381">
        <f t="shared" si="56"/>
        <v>73184.341318276915</v>
      </c>
      <c r="J133" s="54">
        <f t="shared" si="40"/>
        <v>0</v>
      </c>
      <c r="K133" s="54"/>
      <c r="L133" s="115"/>
      <c r="M133" s="54">
        <f t="shared" si="57"/>
        <v>0</v>
      </c>
      <c r="N133" s="115"/>
      <c r="O133" s="54">
        <f t="shared" si="58"/>
        <v>0</v>
      </c>
      <c r="P133" s="54">
        <f t="shared" si="59"/>
        <v>0</v>
      </c>
    </row>
    <row r="134" spans="2:16" ht="12.5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181532</v>
      </c>
      <c r="E134" s="354">
        <f t="shared" si="52"/>
        <v>45730</v>
      </c>
      <c r="F134" s="55">
        <f t="shared" si="53"/>
        <v>135802</v>
      </c>
      <c r="G134" s="55">
        <f t="shared" si="54"/>
        <v>158667</v>
      </c>
      <c r="H134" s="356">
        <f t="shared" si="55"/>
        <v>67041.94672107244</v>
      </c>
      <c r="I134" s="381">
        <f t="shared" si="56"/>
        <v>67041.94672107244</v>
      </c>
      <c r="J134" s="54">
        <f t="shared" si="40"/>
        <v>0</v>
      </c>
      <c r="K134" s="54"/>
      <c r="L134" s="115"/>
      <c r="M134" s="54">
        <f t="shared" si="57"/>
        <v>0</v>
      </c>
      <c r="N134" s="115"/>
      <c r="O134" s="54">
        <f t="shared" si="58"/>
        <v>0</v>
      </c>
      <c r="P134" s="54">
        <f t="shared" si="59"/>
        <v>0</v>
      </c>
    </row>
    <row r="135" spans="2:16" ht="12.5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135802</v>
      </c>
      <c r="E135" s="354">
        <f t="shared" si="52"/>
        <v>45730</v>
      </c>
      <c r="F135" s="55">
        <f t="shared" si="53"/>
        <v>90072</v>
      </c>
      <c r="G135" s="55">
        <f t="shared" si="54"/>
        <v>112937</v>
      </c>
      <c r="H135" s="356">
        <f t="shared" si="55"/>
        <v>60899.552123867965</v>
      </c>
      <c r="I135" s="381">
        <f t="shared" si="56"/>
        <v>60899.552123867965</v>
      </c>
      <c r="J135" s="54">
        <f t="shared" si="40"/>
        <v>0</v>
      </c>
      <c r="K135" s="54"/>
      <c r="L135" s="115"/>
      <c r="M135" s="54">
        <f t="shared" si="57"/>
        <v>0</v>
      </c>
      <c r="N135" s="115"/>
      <c r="O135" s="54">
        <f t="shared" si="58"/>
        <v>0</v>
      </c>
      <c r="P135" s="54">
        <f t="shared" si="59"/>
        <v>0</v>
      </c>
    </row>
    <row r="136" spans="2:16" ht="12.5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90072</v>
      </c>
      <c r="E136" s="354">
        <f t="shared" si="52"/>
        <v>45730</v>
      </c>
      <c r="F136" s="55">
        <f t="shared" si="53"/>
        <v>44342</v>
      </c>
      <c r="G136" s="55">
        <f t="shared" si="54"/>
        <v>67207</v>
      </c>
      <c r="H136" s="356">
        <f t="shared" si="55"/>
        <v>54757.15752666349</v>
      </c>
      <c r="I136" s="381">
        <f t="shared" si="56"/>
        <v>54757.15752666349</v>
      </c>
      <c r="J136" s="54">
        <f t="shared" si="40"/>
        <v>0</v>
      </c>
      <c r="K136" s="54"/>
      <c r="L136" s="115"/>
      <c r="M136" s="54">
        <f t="shared" si="57"/>
        <v>0</v>
      </c>
      <c r="N136" s="115"/>
      <c r="O136" s="54">
        <f t="shared" si="58"/>
        <v>0</v>
      </c>
      <c r="P136" s="54">
        <f t="shared" si="59"/>
        <v>0</v>
      </c>
    </row>
    <row r="137" spans="2:16" ht="12.5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44342</v>
      </c>
      <c r="E137" s="354">
        <f t="shared" si="52"/>
        <v>44342</v>
      </c>
      <c r="F137" s="55">
        <f t="shared" si="53"/>
        <v>0</v>
      </c>
      <c r="G137" s="55">
        <f t="shared" si="54"/>
        <v>22171</v>
      </c>
      <c r="H137" s="356">
        <f t="shared" si="55"/>
        <v>47319.980114030623</v>
      </c>
      <c r="I137" s="381">
        <f t="shared" si="56"/>
        <v>47319.980114030623</v>
      </c>
      <c r="J137" s="54">
        <f t="shared" si="40"/>
        <v>0</v>
      </c>
      <c r="K137" s="54"/>
      <c r="L137" s="115"/>
      <c r="M137" s="54">
        <f t="shared" si="57"/>
        <v>0</v>
      </c>
      <c r="N137" s="115"/>
      <c r="O137" s="54">
        <f t="shared" si="58"/>
        <v>0</v>
      </c>
      <c r="P137" s="54">
        <f t="shared" si="59"/>
        <v>0</v>
      </c>
    </row>
    <row r="138" spans="2:16" ht="12.5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0</v>
      </c>
      <c r="E138" s="354">
        <f t="shared" si="52"/>
        <v>0</v>
      </c>
      <c r="F138" s="55">
        <f t="shared" si="53"/>
        <v>0</v>
      </c>
      <c r="G138" s="55">
        <f t="shared" si="54"/>
        <v>0</v>
      </c>
      <c r="H138" s="356">
        <f t="shared" si="55"/>
        <v>0</v>
      </c>
      <c r="I138" s="381">
        <f t="shared" si="56"/>
        <v>0</v>
      </c>
      <c r="J138" s="54">
        <f t="shared" si="40"/>
        <v>0</v>
      </c>
      <c r="K138" s="54"/>
      <c r="L138" s="115"/>
      <c r="M138" s="54">
        <f t="shared" si="57"/>
        <v>0</v>
      </c>
      <c r="N138" s="115"/>
      <c r="O138" s="54">
        <f t="shared" si="58"/>
        <v>0</v>
      </c>
      <c r="P138" s="54">
        <f t="shared" si="59"/>
        <v>0</v>
      </c>
    </row>
    <row r="139" spans="2:16" ht="12.5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0</v>
      </c>
      <c r="E139" s="354">
        <f t="shared" si="52"/>
        <v>0</v>
      </c>
      <c r="F139" s="55">
        <f t="shared" si="53"/>
        <v>0</v>
      </c>
      <c r="G139" s="55">
        <f t="shared" si="54"/>
        <v>0</v>
      </c>
      <c r="H139" s="356">
        <f t="shared" si="55"/>
        <v>0</v>
      </c>
      <c r="I139" s="381">
        <f t="shared" si="56"/>
        <v>0</v>
      </c>
      <c r="J139" s="54">
        <f t="shared" si="40"/>
        <v>0</v>
      </c>
      <c r="K139" s="54"/>
      <c r="L139" s="115"/>
      <c r="M139" s="54">
        <f t="shared" si="57"/>
        <v>0</v>
      </c>
      <c r="N139" s="115"/>
      <c r="O139" s="54">
        <f t="shared" si="58"/>
        <v>0</v>
      </c>
      <c r="P139" s="54">
        <f t="shared" si="59"/>
        <v>0</v>
      </c>
    </row>
    <row r="140" spans="2:16" ht="12.5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0</v>
      </c>
      <c r="E140" s="354">
        <f t="shared" si="52"/>
        <v>0</v>
      </c>
      <c r="F140" s="55">
        <f t="shared" si="53"/>
        <v>0</v>
      </c>
      <c r="G140" s="55">
        <f t="shared" si="54"/>
        <v>0</v>
      </c>
      <c r="H140" s="356">
        <f t="shared" si="55"/>
        <v>0</v>
      </c>
      <c r="I140" s="381">
        <f t="shared" si="56"/>
        <v>0</v>
      </c>
      <c r="J140" s="54">
        <f t="shared" si="40"/>
        <v>0</v>
      </c>
      <c r="K140" s="54"/>
      <c r="L140" s="115"/>
      <c r="M140" s="54">
        <f t="shared" si="57"/>
        <v>0</v>
      </c>
      <c r="N140" s="115"/>
      <c r="O140" s="54">
        <f t="shared" si="58"/>
        <v>0</v>
      </c>
      <c r="P140" s="54">
        <f t="shared" si="59"/>
        <v>0</v>
      </c>
    </row>
    <row r="141" spans="2:16" ht="12.5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0</v>
      </c>
      <c r="E141" s="354">
        <f t="shared" si="52"/>
        <v>0</v>
      </c>
      <c r="F141" s="55">
        <f t="shared" si="53"/>
        <v>0</v>
      </c>
      <c r="G141" s="55">
        <f t="shared" si="54"/>
        <v>0</v>
      </c>
      <c r="H141" s="356">
        <f t="shared" si="55"/>
        <v>0</v>
      </c>
      <c r="I141" s="381">
        <f t="shared" si="56"/>
        <v>0</v>
      </c>
      <c r="J141" s="54">
        <f t="shared" si="40"/>
        <v>0</v>
      </c>
      <c r="K141" s="54"/>
      <c r="L141" s="115"/>
      <c r="M141" s="54">
        <f t="shared" si="57"/>
        <v>0</v>
      </c>
      <c r="N141" s="115"/>
      <c r="O141" s="54">
        <f t="shared" si="58"/>
        <v>0</v>
      </c>
      <c r="P141" s="54">
        <f t="shared" si="59"/>
        <v>0</v>
      </c>
    </row>
    <row r="142" spans="2:16" ht="12.5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0</v>
      </c>
      <c r="E142" s="354">
        <f t="shared" si="52"/>
        <v>0</v>
      </c>
      <c r="F142" s="55">
        <f t="shared" si="53"/>
        <v>0</v>
      </c>
      <c r="G142" s="55">
        <f t="shared" si="54"/>
        <v>0</v>
      </c>
      <c r="H142" s="356">
        <f t="shared" si="55"/>
        <v>0</v>
      </c>
      <c r="I142" s="381">
        <f t="shared" si="56"/>
        <v>0</v>
      </c>
      <c r="J142" s="54">
        <f t="shared" si="40"/>
        <v>0</v>
      </c>
      <c r="K142" s="54"/>
      <c r="L142" s="115"/>
      <c r="M142" s="54">
        <f t="shared" si="57"/>
        <v>0</v>
      </c>
      <c r="N142" s="115"/>
      <c r="O142" s="54">
        <f t="shared" si="58"/>
        <v>0</v>
      </c>
      <c r="P142" s="54">
        <f t="shared" si="59"/>
        <v>0</v>
      </c>
    </row>
    <row r="143" spans="2:16" ht="12.5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0</v>
      </c>
      <c r="E143" s="354">
        <f t="shared" si="52"/>
        <v>0</v>
      </c>
      <c r="F143" s="55">
        <f t="shared" si="53"/>
        <v>0</v>
      </c>
      <c r="G143" s="55">
        <f t="shared" si="54"/>
        <v>0</v>
      </c>
      <c r="H143" s="356">
        <f t="shared" si="55"/>
        <v>0</v>
      </c>
      <c r="I143" s="381">
        <f t="shared" si="56"/>
        <v>0</v>
      </c>
      <c r="J143" s="54">
        <f t="shared" si="40"/>
        <v>0</v>
      </c>
      <c r="K143" s="54"/>
      <c r="L143" s="115"/>
      <c r="M143" s="54">
        <f t="shared" si="57"/>
        <v>0</v>
      </c>
      <c r="N143" s="115"/>
      <c r="O143" s="54">
        <f t="shared" si="58"/>
        <v>0</v>
      </c>
      <c r="P143" s="54">
        <f t="shared" si="59"/>
        <v>0</v>
      </c>
    </row>
    <row r="144" spans="2:16" ht="12.5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54">
        <f t="shared" si="52"/>
        <v>0</v>
      </c>
      <c r="F144" s="55">
        <f t="shared" si="53"/>
        <v>0</v>
      </c>
      <c r="G144" s="55">
        <f t="shared" si="54"/>
        <v>0</v>
      </c>
      <c r="H144" s="356">
        <f t="shared" si="55"/>
        <v>0</v>
      </c>
      <c r="I144" s="381">
        <f t="shared" si="56"/>
        <v>0</v>
      </c>
      <c r="J144" s="54">
        <f t="shared" si="40"/>
        <v>0</v>
      </c>
      <c r="K144" s="54"/>
      <c r="L144" s="115"/>
      <c r="M144" s="54">
        <f t="shared" si="57"/>
        <v>0</v>
      </c>
      <c r="N144" s="115"/>
      <c r="O144" s="54">
        <f t="shared" si="58"/>
        <v>0</v>
      </c>
      <c r="P144" s="54">
        <f t="shared" si="59"/>
        <v>0</v>
      </c>
    </row>
    <row r="145" spans="2:16" ht="12.5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54">
        <f t="shared" si="52"/>
        <v>0</v>
      </c>
      <c r="F145" s="55">
        <f t="shared" si="53"/>
        <v>0</v>
      </c>
      <c r="G145" s="55">
        <f t="shared" si="54"/>
        <v>0</v>
      </c>
      <c r="H145" s="356">
        <f t="shared" si="55"/>
        <v>0</v>
      </c>
      <c r="I145" s="381">
        <f t="shared" si="56"/>
        <v>0</v>
      </c>
      <c r="J145" s="54">
        <f t="shared" si="40"/>
        <v>0</v>
      </c>
      <c r="K145" s="54"/>
      <c r="L145" s="115"/>
      <c r="M145" s="54">
        <f t="shared" si="57"/>
        <v>0</v>
      </c>
      <c r="N145" s="115"/>
      <c r="O145" s="54">
        <f t="shared" si="58"/>
        <v>0</v>
      </c>
      <c r="P145" s="54">
        <f t="shared" si="59"/>
        <v>0</v>
      </c>
    </row>
    <row r="146" spans="2:16" ht="12.5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54">
        <f t="shared" si="52"/>
        <v>0</v>
      </c>
      <c r="F146" s="55">
        <f t="shared" si="53"/>
        <v>0</v>
      </c>
      <c r="G146" s="55">
        <f t="shared" si="54"/>
        <v>0</v>
      </c>
      <c r="H146" s="356">
        <f t="shared" si="55"/>
        <v>0</v>
      </c>
      <c r="I146" s="381">
        <f t="shared" si="56"/>
        <v>0</v>
      </c>
      <c r="J146" s="54">
        <f t="shared" si="40"/>
        <v>0</v>
      </c>
      <c r="K146" s="54"/>
      <c r="L146" s="115"/>
      <c r="M146" s="54">
        <f t="shared" si="57"/>
        <v>0</v>
      </c>
      <c r="N146" s="115"/>
      <c r="O146" s="54">
        <f t="shared" si="58"/>
        <v>0</v>
      </c>
      <c r="P146" s="54">
        <f t="shared" si="59"/>
        <v>0</v>
      </c>
    </row>
    <row r="147" spans="2:16" ht="12.5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54">
        <f t="shared" si="52"/>
        <v>0</v>
      </c>
      <c r="F147" s="55">
        <f t="shared" si="53"/>
        <v>0</v>
      </c>
      <c r="G147" s="55">
        <f t="shared" si="54"/>
        <v>0</v>
      </c>
      <c r="H147" s="356">
        <f t="shared" si="55"/>
        <v>0</v>
      </c>
      <c r="I147" s="381">
        <f t="shared" si="56"/>
        <v>0</v>
      </c>
      <c r="J147" s="54">
        <f t="shared" si="40"/>
        <v>0</v>
      </c>
      <c r="K147" s="54"/>
      <c r="L147" s="115"/>
      <c r="M147" s="54">
        <f t="shared" si="57"/>
        <v>0</v>
      </c>
      <c r="N147" s="115"/>
      <c r="O147" s="54">
        <f t="shared" si="58"/>
        <v>0</v>
      </c>
      <c r="P147" s="54">
        <f t="shared" si="59"/>
        <v>0</v>
      </c>
    </row>
    <row r="148" spans="2:16" ht="12.5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54">
        <f t="shared" si="52"/>
        <v>0</v>
      </c>
      <c r="F148" s="55">
        <f t="shared" si="53"/>
        <v>0</v>
      </c>
      <c r="G148" s="55">
        <f t="shared" si="54"/>
        <v>0</v>
      </c>
      <c r="H148" s="356">
        <f t="shared" si="55"/>
        <v>0</v>
      </c>
      <c r="I148" s="381">
        <f t="shared" si="56"/>
        <v>0</v>
      </c>
      <c r="J148" s="54">
        <f t="shared" si="40"/>
        <v>0</v>
      </c>
      <c r="K148" s="54"/>
      <c r="L148" s="115"/>
      <c r="M148" s="54">
        <f t="shared" si="57"/>
        <v>0</v>
      </c>
      <c r="N148" s="115"/>
      <c r="O148" s="54">
        <f t="shared" si="58"/>
        <v>0</v>
      </c>
      <c r="P148" s="54">
        <f t="shared" si="59"/>
        <v>0</v>
      </c>
    </row>
    <row r="149" spans="2:16" ht="12.5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54">
        <f t="shared" si="52"/>
        <v>0</v>
      </c>
      <c r="F149" s="55">
        <f t="shared" si="53"/>
        <v>0</v>
      </c>
      <c r="G149" s="55">
        <f t="shared" si="54"/>
        <v>0</v>
      </c>
      <c r="H149" s="356">
        <f t="shared" si="55"/>
        <v>0</v>
      </c>
      <c r="I149" s="381">
        <f t="shared" si="56"/>
        <v>0</v>
      </c>
      <c r="J149" s="54">
        <f t="shared" si="40"/>
        <v>0</v>
      </c>
      <c r="K149" s="54"/>
      <c r="L149" s="115"/>
      <c r="M149" s="54">
        <f t="shared" si="57"/>
        <v>0</v>
      </c>
      <c r="N149" s="115"/>
      <c r="O149" s="54">
        <f t="shared" si="58"/>
        <v>0</v>
      </c>
      <c r="P149" s="54">
        <f t="shared" si="59"/>
        <v>0</v>
      </c>
    </row>
    <row r="150" spans="2:16" ht="12.5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54">
        <f t="shared" si="52"/>
        <v>0</v>
      </c>
      <c r="F150" s="55">
        <f t="shared" si="53"/>
        <v>0</v>
      </c>
      <c r="G150" s="55">
        <f t="shared" si="54"/>
        <v>0</v>
      </c>
      <c r="H150" s="356">
        <f t="shared" si="55"/>
        <v>0</v>
      </c>
      <c r="I150" s="381">
        <f t="shared" si="56"/>
        <v>0</v>
      </c>
      <c r="J150" s="54">
        <f t="shared" si="40"/>
        <v>0</v>
      </c>
      <c r="K150" s="54"/>
      <c r="L150" s="115"/>
      <c r="M150" s="54">
        <f t="shared" si="57"/>
        <v>0</v>
      </c>
      <c r="N150" s="115"/>
      <c r="O150" s="54">
        <f t="shared" si="58"/>
        <v>0</v>
      </c>
      <c r="P150" s="54">
        <f t="shared" si="59"/>
        <v>0</v>
      </c>
    </row>
    <row r="151" spans="2:16" ht="12.5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54">
        <f t="shared" si="52"/>
        <v>0</v>
      </c>
      <c r="F151" s="55">
        <f t="shared" si="53"/>
        <v>0</v>
      </c>
      <c r="G151" s="55">
        <f t="shared" si="54"/>
        <v>0</v>
      </c>
      <c r="H151" s="356">
        <f t="shared" si="55"/>
        <v>0</v>
      </c>
      <c r="I151" s="381">
        <f t="shared" si="56"/>
        <v>0</v>
      </c>
      <c r="J151" s="54">
        <f t="shared" si="40"/>
        <v>0</v>
      </c>
      <c r="K151" s="54"/>
      <c r="L151" s="115"/>
      <c r="M151" s="54">
        <f t="shared" si="57"/>
        <v>0</v>
      </c>
      <c r="N151" s="115"/>
      <c r="O151" s="54">
        <f t="shared" si="58"/>
        <v>0</v>
      </c>
      <c r="P151" s="54">
        <f t="shared" si="59"/>
        <v>0</v>
      </c>
    </row>
    <row r="152" spans="2:16" ht="12.5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54">
        <f t="shared" si="52"/>
        <v>0</v>
      </c>
      <c r="F152" s="55">
        <f t="shared" si="53"/>
        <v>0</v>
      </c>
      <c r="G152" s="55">
        <f t="shared" si="54"/>
        <v>0</v>
      </c>
      <c r="H152" s="356">
        <f t="shared" si="55"/>
        <v>0</v>
      </c>
      <c r="I152" s="381">
        <f t="shared" si="56"/>
        <v>0</v>
      </c>
      <c r="J152" s="54">
        <f t="shared" si="40"/>
        <v>0</v>
      </c>
      <c r="K152" s="54"/>
      <c r="L152" s="115"/>
      <c r="M152" s="54">
        <f t="shared" si="57"/>
        <v>0</v>
      </c>
      <c r="N152" s="115"/>
      <c r="O152" s="54">
        <f t="shared" si="58"/>
        <v>0</v>
      </c>
      <c r="P152" s="54">
        <f t="shared" si="59"/>
        <v>0</v>
      </c>
    </row>
    <row r="153" spans="2:16" ht="12.5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54">
        <f t="shared" si="52"/>
        <v>0</v>
      </c>
      <c r="F153" s="55">
        <f t="shared" si="53"/>
        <v>0</v>
      </c>
      <c r="G153" s="55">
        <f t="shared" si="54"/>
        <v>0</v>
      </c>
      <c r="H153" s="356">
        <f t="shared" si="55"/>
        <v>0</v>
      </c>
      <c r="I153" s="381">
        <f t="shared" si="56"/>
        <v>0</v>
      </c>
      <c r="J153" s="54">
        <f t="shared" si="40"/>
        <v>0</v>
      </c>
      <c r="K153" s="54"/>
      <c r="L153" s="115"/>
      <c r="M153" s="54">
        <f t="shared" si="57"/>
        <v>0</v>
      </c>
      <c r="N153" s="115"/>
      <c r="O153" s="54">
        <f t="shared" si="58"/>
        <v>0</v>
      </c>
      <c r="P153" s="54">
        <f t="shared" si="59"/>
        <v>0</v>
      </c>
    </row>
    <row r="154" spans="2:16" ht="13" thickBot="1">
      <c r="B154" s="7" t="str">
        <f t="shared" si="39"/>
        <v/>
      </c>
      <c r="C154" s="58">
        <f>IF(D93="","-",+C153+1)</f>
        <v>2070</v>
      </c>
      <c r="D154" s="403">
        <f>IF(F153+SUM(E$99:E153)=D$92,F153,D$92-SUM(E$99:E153))</f>
        <v>0</v>
      </c>
      <c r="E154" s="357">
        <f t="shared" si="52"/>
        <v>0</v>
      </c>
      <c r="F154" s="59">
        <f t="shared" si="53"/>
        <v>0</v>
      </c>
      <c r="G154" s="59">
        <f t="shared" si="54"/>
        <v>0</v>
      </c>
      <c r="H154" s="358">
        <f t="shared" si="55"/>
        <v>0</v>
      </c>
      <c r="I154" s="383">
        <f t="shared" si="56"/>
        <v>0</v>
      </c>
      <c r="J154" s="62">
        <f t="shared" si="40"/>
        <v>0</v>
      </c>
      <c r="K154" s="54"/>
      <c r="L154" s="116"/>
      <c r="M154" s="62">
        <f t="shared" si="57"/>
        <v>0</v>
      </c>
      <c r="N154" s="116"/>
      <c r="O154" s="62">
        <f t="shared" si="58"/>
        <v>0</v>
      </c>
      <c r="P154" s="62">
        <f t="shared" si="59"/>
        <v>0</v>
      </c>
    </row>
    <row r="155" spans="2:16" ht="12.5">
      <c r="C155" s="12" t="s">
        <v>77</v>
      </c>
      <c r="D155" s="267"/>
      <c r="E155" s="267">
        <f>SUM(E99:E154)</f>
        <v>1692023</v>
      </c>
      <c r="F155" s="267"/>
      <c r="G155" s="267"/>
      <c r="H155" s="267">
        <f>SUM(H99:H154)</f>
        <v>5970081.9082397809</v>
      </c>
      <c r="I155" s="267">
        <f>SUM(I99:I154)</f>
        <v>5970081.9082397809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theme="9" tint="-0.249977111117893"/>
  </sheetPr>
  <dimension ref="A1:V162"/>
  <sheetViews>
    <sheetView topLeftCell="A69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18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188098.76315789475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188098.76315789475</v>
      </c>
      <c r="O6" s="1"/>
      <c r="P6" s="1"/>
    </row>
    <row r="7" spans="1:16" ht="13.5" thickBot="1">
      <c r="C7" s="26" t="s">
        <v>46</v>
      </c>
      <c r="D7" s="88" t="s">
        <v>266</v>
      </c>
      <c r="E7" s="426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1" t="s">
        <v>269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273</v>
      </c>
      <c r="E9" s="404" t="s">
        <v>343</v>
      </c>
      <c r="F9" s="32"/>
      <c r="G9" s="452" t="s">
        <v>404</v>
      </c>
      <c r="H9" s="32"/>
      <c r="I9" s="33"/>
      <c r="J9" s="34"/>
      <c r="P9" s="1"/>
    </row>
    <row r="10" spans="1:16" ht="13">
      <c r="C10" s="128" t="s">
        <v>226</v>
      </c>
      <c r="D10" s="336">
        <v>1725647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4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45411.76315789474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2014</v>
      </c>
      <c r="D17" s="405">
        <v>1725646.85</v>
      </c>
      <c r="E17" s="427">
        <v>22123.677564102563</v>
      </c>
      <c r="F17" s="405">
        <v>1703523.1724358976</v>
      </c>
      <c r="G17" s="427">
        <v>256628.57821434946</v>
      </c>
      <c r="H17" s="428">
        <v>256628.57821434946</v>
      </c>
      <c r="I17" s="52">
        <v>0</v>
      </c>
      <c r="J17" s="52"/>
      <c r="K17" s="324">
        <f t="shared" ref="K17:K22" si="0">G17</f>
        <v>256628.57821434946</v>
      </c>
      <c r="L17" s="63">
        <f t="shared" ref="L17:L22" si="1">IF(K17&lt;&gt;0,+G17-K17,0)</f>
        <v>0</v>
      </c>
      <c r="M17" s="324">
        <f t="shared" ref="M17:M22" si="2">H17</f>
        <v>256628.57821434946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05">
        <v>1703523.1724358976</v>
      </c>
      <c r="E18" s="406">
        <v>33185.516346153847</v>
      </c>
      <c r="F18" s="405">
        <v>1670337.6560897438</v>
      </c>
      <c r="G18" s="406">
        <v>263477.7363505594</v>
      </c>
      <c r="H18" s="428">
        <v>263477.7363505594</v>
      </c>
      <c r="I18" s="52">
        <v>0</v>
      </c>
      <c r="J18" s="52"/>
      <c r="K18" s="324">
        <f t="shared" si="0"/>
        <v>263477.7363505594</v>
      </c>
      <c r="L18" s="63">
        <f t="shared" si="1"/>
        <v>0</v>
      </c>
      <c r="M18" s="324">
        <f t="shared" si="2"/>
        <v>263477.7363505594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2016</v>
      </c>
      <c r="D19" s="405">
        <v>1670337.6560897438</v>
      </c>
      <c r="E19" s="406">
        <v>33185.516346153847</v>
      </c>
      <c r="F19" s="405">
        <v>1637152.13974359</v>
      </c>
      <c r="G19" s="406">
        <v>247913.51634615386</v>
      </c>
      <c r="H19" s="428">
        <v>247913.51634615386</v>
      </c>
      <c r="I19" s="52">
        <f>H19-G19</f>
        <v>0</v>
      </c>
      <c r="J19" s="52"/>
      <c r="K19" s="324">
        <f t="shared" si="0"/>
        <v>247913.51634615386</v>
      </c>
      <c r="L19" s="63">
        <f t="shared" si="1"/>
        <v>0</v>
      </c>
      <c r="M19" s="324">
        <f t="shared" si="2"/>
        <v>247913.51634615386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05">
        <v>1637152</v>
      </c>
      <c r="E20" s="406">
        <v>37514</v>
      </c>
      <c r="F20" s="405">
        <v>1599638</v>
      </c>
      <c r="G20" s="406">
        <v>241085</v>
      </c>
      <c r="H20" s="428">
        <v>241085</v>
      </c>
      <c r="I20" s="52">
        <f t="shared" ref="I20:I72" si="4">H20-G20</f>
        <v>0</v>
      </c>
      <c r="J20" s="52"/>
      <c r="K20" s="324">
        <f t="shared" si="0"/>
        <v>241085</v>
      </c>
      <c r="L20" s="63">
        <f t="shared" si="1"/>
        <v>0</v>
      </c>
      <c r="M20" s="324">
        <f t="shared" si="2"/>
        <v>241085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>IU</v>
      </c>
      <c r="C21" s="50">
        <f>IF(D11="","-",+C20+1)</f>
        <v>2018</v>
      </c>
      <c r="D21" s="405">
        <v>1599638.0777870682</v>
      </c>
      <c r="E21" s="406">
        <v>38347.707777777781</v>
      </c>
      <c r="F21" s="405">
        <v>1561290.3700092905</v>
      </c>
      <c r="G21" s="406">
        <v>227622.42905835263</v>
      </c>
      <c r="H21" s="428">
        <v>227622.42905835263</v>
      </c>
      <c r="I21" s="52">
        <f t="shared" si="4"/>
        <v>0</v>
      </c>
      <c r="J21" s="52"/>
      <c r="K21" s="324">
        <f t="shared" si="0"/>
        <v>227622.42905835263</v>
      </c>
      <c r="L21" s="63">
        <f t="shared" si="1"/>
        <v>0</v>
      </c>
      <c r="M21" s="324">
        <f t="shared" si="2"/>
        <v>227622.42905835263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05">
        <v>1561290.3700092905</v>
      </c>
      <c r="E22" s="406">
        <v>43141.171249999999</v>
      </c>
      <c r="F22" s="405">
        <v>1518149.1987592906</v>
      </c>
      <c r="G22" s="406">
        <v>215061.09551654221</v>
      </c>
      <c r="H22" s="428">
        <v>215061.09551654221</v>
      </c>
      <c r="I22" s="52">
        <f t="shared" si="4"/>
        <v>0</v>
      </c>
      <c r="J22" s="52"/>
      <c r="K22" s="324">
        <f t="shared" si="0"/>
        <v>215061.09551654221</v>
      </c>
      <c r="L22" s="63">
        <f t="shared" si="1"/>
        <v>0</v>
      </c>
      <c r="M22" s="324">
        <f t="shared" si="2"/>
        <v>215061.09551654221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05">
        <v>1522942.7241880344</v>
      </c>
      <c r="E23" s="406">
        <v>41086.829761904766</v>
      </c>
      <c r="F23" s="405">
        <v>1481855.8944261298</v>
      </c>
      <c r="G23" s="406">
        <v>203353.13199328393</v>
      </c>
      <c r="H23" s="428">
        <v>203353.13199328393</v>
      </c>
      <c r="I23" s="52">
        <f t="shared" si="4"/>
        <v>0</v>
      </c>
      <c r="J23" s="52"/>
      <c r="K23" s="324">
        <f t="shared" ref="K23" si="7">G23</f>
        <v>203353.13199328393</v>
      </c>
      <c r="L23" s="63">
        <f t="shared" ref="L23" si="8">IF(K23&lt;&gt;0,+G23-K23,0)</f>
        <v>0</v>
      </c>
      <c r="M23" s="324">
        <f t="shared" ref="M23" si="9">H23</f>
        <v>203353.13199328393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05">
        <v>1477062.4309539073</v>
      </c>
      <c r="E24" s="406">
        <v>40131.322093023256</v>
      </c>
      <c r="F24" s="405">
        <v>1436931.1088608841</v>
      </c>
      <c r="G24" s="406">
        <v>195063.32209302325</v>
      </c>
      <c r="H24" s="428">
        <v>195063.32209302325</v>
      </c>
      <c r="I24" s="52">
        <f t="shared" si="4"/>
        <v>0</v>
      </c>
      <c r="J24" s="52"/>
      <c r="K24" s="324">
        <f t="shared" ref="K24" si="10">G24</f>
        <v>195063.32209302325</v>
      </c>
      <c r="L24" s="63">
        <f t="shared" ref="L24" si="11">IF(K24&lt;&gt;0,+G24-K24,0)</f>
        <v>0</v>
      </c>
      <c r="M24" s="324">
        <f t="shared" ref="M24" si="12">H24</f>
        <v>195063.32209302325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05">
        <v>1436931.1088608841</v>
      </c>
      <c r="E25" s="406">
        <v>41086.829761904766</v>
      </c>
      <c r="F25" s="405">
        <v>1395844.2790989794</v>
      </c>
      <c r="G25" s="406">
        <v>191574.82976190478</v>
      </c>
      <c r="H25" s="428">
        <v>191574.82976190478</v>
      </c>
      <c r="I25" s="52">
        <f t="shared" si="4"/>
        <v>0</v>
      </c>
      <c r="J25" s="52"/>
      <c r="K25" s="324">
        <f t="shared" ref="K25" si="13">G25</f>
        <v>191574.82976190478</v>
      </c>
      <c r="L25" s="63">
        <f t="shared" ref="L25" si="14">IF(K25&lt;&gt;0,+G25-K25,0)</f>
        <v>0</v>
      </c>
      <c r="M25" s="324">
        <f t="shared" ref="M25" si="15">H25</f>
        <v>191574.82976190478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05">
        <v>1395844.4290989791</v>
      </c>
      <c r="E26" s="406">
        <v>44247.358974358976</v>
      </c>
      <c r="F26" s="405">
        <v>1351597.0701246201</v>
      </c>
      <c r="G26" s="406">
        <v>205572.35897435897</v>
      </c>
      <c r="H26" s="428">
        <v>205572.35897435897</v>
      </c>
      <c r="I26" s="52">
        <f t="shared" si="4"/>
        <v>0</v>
      </c>
      <c r="J26" s="52"/>
      <c r="K26" s="324">
        <f t="shared" ref="K26" si="16">G26</f>
        <v>205572.35897435897</v>
      </c>
      <c r="L26" s="63">
        <f t="shared" ref="L26" si="17">IF(K26&lt;&gt;0,+G26-K26,0)</f>
        <v>0</v>
      </c>
      <c r="M26" s="324">
        <f t="shared" ref="M26" si="18">H26</f>
        <v>205572.35897435897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50">
        <f>IF(D11="","-",+C26+1)</f>
        <v>2024</v>
      </c>
      <c r="D27" s="405">
        <v>1351597.0701246201</v>
      </c>
      <c r="E27" s="406">
        <v>45411.76315789474</v>
      </c>
      <c r="F27" s="405">
        <v>1306185.3069667253</v>
      </c>
      <c r="G27" s="406">
        <v>193977.76315789475</v>
      </c>
      <c r="H27" s="428">
        <v>193977.76315789475</v>
      </c>
      <c r="I27" s="52">
        <f t="shared" si="4"/>
        <v>0</v>
      </c>
      <c r="J27" s="52"/>
      <c r="K27" s="324">
        <f t="shared" ref="K27" si="21">G27</f>
        <v>193977.76315789475</v>
      </c>
      <c r="L27" s="63">
        <f t="shared" ref="L27" si="22">IF(K27&lt;&gt;0,+G27-K27,0)</f>
        <v>0</v>
      </c>
      <c r="M27" s="324">
        <f t="shared" ref="M27" si="23">H27</f>
        <v>193977.76315789475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49">
        <f>IF(D11="","-",+C27+1)</f>
        <v>2025</v>
      </c>
      <c r="D28" s="405">
        <v>1306185.3069667253</v>
      </c>
      <c r="E28" s="406">
        <v>45411.76315789474</v>
      </c>
      <c r="F28" s="405">
        <v>1260773.5438088304</v>
      </c>
      <c r="G28" s="406">
        <v>188643.76315789475</v>
      </c>
      <c r="H28" s="428">
        <v>188643.76315789475</v>
      </c>
      <c r="I28" s="52">
        <f t="shared" si="4"/>
        <v>0</v>
      </c>
      <c r="J28" s="52"/>
      <c r="K28" s="324">
        <f t="shared" ref="K28" si="26">G28</f>
        <v>188643.76315789475</v>
      </c>
      <c r="L28" s="63">
        <f t="shared" ref="L28" si="27">IF(K28&lt;&gt;0,+G28-K28,0)</f>
        <v>0</v>
      </c>
      <c r="M28" s="324">
        <f t="shared" ref="M28" si="28">H28</f>
        <v>188643.76315789475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1260773.5438088304</v>
      </c>
      <c r="E29" s="354">
        <f t="shared" ref="E29:E72" si="31">IF(+$I$14&lt;F28,$I$14,D29)</f>
        <v>45411.76315789474</v>
      </c>
      <c r="F29" s="55">
        <f t="shared" ref="F29:F72" si="32">+D29-E29</f>
        <v>1215361.7806509356</v>
      </c>
      <c r="G29" s="355">
        <f t="shared" ref="G29:G72" si="33">ROUND(I$12*F29,0)+E29</f>
        <v>188098.76315789475</v>
      </c>
      <c r="H29" s="337">
        <f t="shared" ref="H29:H72" si="34">ROUND(I$13*F29,0)+E29</f>
        <v>188098.76315789475</v>
      </c>
      <c r="I29" s="52">
        <f t="shared" si="4"/>
        <v>0</v>
      </c>
      <c r="J29" s="52"/>
      <c r="K29" s="115"/>
      <c r="L29" s="54">
        <f t="shared" ref="L29:L72" si="35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1215361.7806509356</v>
      </c>
      <c r="E30" s="354">
        <f t="shared" si="31"/>
        <v>45411.76315789474</v>
      </c>
      <c r="F30" s="55">
        <f t="shared" si="32"/>
        <v>1169950.0174930408</v>
      </c>
      <c r="G30" s="355">
        <f t="shared" si="33"/>
        <v>182766.76315789475</v>
      </c>
      <c r="H30" s="337">
        <f t="shared" si="34"/>
        <v>182766.76315789475</v>
      </c>
      <c r="I30" s="52">
        <f t="shared" si="4"/>
        <v>0</v>
      </c>
      <c r="J30" s="52"/>
      <c r="K30" s="115"/>
      <c r="L30" s="54">
        <f t="shared" si="35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1169950.0174930408</v>
      </c>
      <c r="E31" s="354">
        <f t="shared" si="31"/>
        <v>45411.76315789474</v>
      </c>
      <c r="F31" s="55">
        <f t="shared" si="32"/>
        <v>1124538.2543351459</v>
      </c>
      <c r="G31" s="355">
        <f t="shared" si="33"/>
        <v>177435.76315789475</v>
      </c>
      <c r="H31" s="337">
        <f t="shared" si="34"/>
        <v>177435.76315789475</v>
      </c>
      <c r="I31" s="52">
        <f t="shared" si="4"/>
        <v>0</v>
      </c>
      <c r="J31" s="52"/>
      <c r="K31" s="115"/>
      <c r="L31" s="54">
        <f t="shared" si="35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1124538.2543351459</v>
      </c>
      <c r="E32" s="354">
        <f t="shared" si="31"/>
        <v>45411.76315789474</v>
      </c>
      <c r="F32" s="55">
        <f t="shared" si="32"/>
        <v>1079126.4911772511</v>
      </c>
      <c r="G32" s="355">
        <f t="shared" si="33"/>
        <v>172103.76315789475</v>
      </c>
      <c r="H32" s="337">
        <f t="shared" si="34"/>
        <v>172103.76315789475</v>
      </c>
      <c r="I32" s="52">
        <f t="shared" si="4"/>
        <v>0</v>
      </c>
      <c r="J32" s="52"/>
      <c r="K32" s="115"/>
      <c r="L32" s="54">
        <f t="shared" si="35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1079126.4911772511</v>
      </c>
      <c r="E33" s="354">
        <f t="shared" si="31"/>
        <v>45411.76315789474</v>
      </c>
      <c r="F33" s="55">
        <f t="shared" si="32"/>
        <v>1033714.7280193564</v>
      </c>
      <c r="G33" s="355">
        <f t="shared" si="33"/>
        <v>166772.76315789475</v>
      </c>
      <c r="H33" s="337">
        <f t="shared" si="34"/>
        <v>166772.76315789475</v>
      </c>
      <c r="I33" s="52">
        <f t="shared" si="4"/>
        <v>0</v>
      </c>
      <c r="J33" s="52"/>
      <c r="K33" s="115"/>
      <c r="L33" s="54">
        <f t="shared" si="35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1033714.7280193564</v>
      </c>
      <c r="E34" s="354">
        <f t="shared" si="31"/>
        <v>45411.76315789474</v>
      </c>
      <c r="F34" s="55">
        <f t="shared" si="32"/>
        <v>988302.96486146166</v>
      </c>
      <c r="G34" s="355">
        <f t="shared" si="33"/>
        <v>161440.76315789475</v>
      </c>
      <c r="H34" s="337">
        <f t="shared" si="34"/>
        <v>161440.76315789475</v>
      </c>
      <c r="I34" s="52">
        <f t="shared" si="4"/>
        <v>0</v>
      </c>
      <c r="J34" s="52"/>
      <c r="K34" s="115"/>
      <c r="L34" s="54">
        <f t="shared" si="35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988302.96486146166</v>
      </c>
      <c r="E35" s="354">
        <f t="shared" si="31"/>
        <v>45411.76315789474</v>
      </c>
      <c r="F35" s="55">
        <f t="shared" si="32"/>
        <v>942891.20170356694</v>
      </c>
      <c r="G35" s="355">
        <f t="shared" si="33"/>
        <v>156109.76315789475</v>
      </c>
      <c r="H35" s="337">
        <f t="shared" si="34"/>
        <v>156109.76315789475</v>
      </c>
      <c r="I35" s="52">
        <f t="shared" si="4"/>
        <v>0</v>
      </c>
      <c r="J35" s="52"/>
      <c r="K35" s="115"/>
      <c r="L35" s="54">
        <f t="shared" si="35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942891.20170356694</v>
      </c>
      <c r="E36" s="354">
        <f t="shared" si="31"/>
        <v>45411.76315789474</v>
      </c>
      <c r="F36" s="55">
        <f t="shared" si="32"/>
        <v>897479.43854567222</v>
      </c>
      <c r="G36" s="355">
        <f t="shared" si="33"/>
        <v>150778.76315789475</v>
      </c>
      <c r="H36" s="337">
        <f t="shared" si="34"/>
        <v>150778.76315789475</v>
      </c>
      <c r="I36" s="52">
        <f t="shared" si="4"/>
        <v>0</v>
      </c>
      <c r="J36" s="52"/>
      <c r="K36" s="115"/>
      <c r="L36" s="54">
        <f t="shared" si="35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897479.43854567222</v>
      </c>
      <c r="E37" s="354">
        <f t="shared" si="31"/>
        <v>45411.76315789474</v>
      </c>
      <c r="F37" s="55">
        <f t="shared" si="32"/>
        <v>852067.6753877775</v>
      </c>
      <c r="G37" s="355">
        <f t="shared" si="33"/>
        <v>145446.76315789475</v>
      </c>
      <c r="H37" s="337">
        <f t="shared" si="34"/>
        <v>145446.76315789475</v>
      </c>
      <c r="I37" s="52">
        <f t="shared" si="4"/>
        <v>0</v>
      </c>
      <c r="J37" s="52"/>
      <c r="K37" s="115"/>
      <c r="L37" s="54">
        <f t="shared" si="35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852067.6753877775</v>
      </c>
      <c r="E38" s="354">
        <f t="shared" si="31"/>
        <v>45411.76315789474</v>
      </c>
      <c r="F38" s="55">
        <f t="shared" si="32"/>
        <v>806655.91222988279</v>
      </c>
      <c r="G38" s="355">
        <f t="shared" si="33"/>
        <v>140115.76315789475</v>
      </c>
      <c r="H38" s="337">
        <f t="shared" si="34"/>
        <v>140115.76315789475</v>
      </c>
      <c r="I38" s="52">
        <f t="shared" si="4"/>
        <v>0</v>
      </c>
      <c r="J38" s="52"/>
      <c r="K38" s="115"/>
      <c r="L38" s="54">
        <f t="shared" si="35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806655.91222988279</v>
      </c>
      <c r="E39" s="354">
        <f t="shared" si="31"/>
        <v>45411.76315789474</v>
      </c>
      <c r="F39" s="55">
        <f t="shared" si="32"/>
        <v>761244.14907198807</v>
      </c>
      <c r="G39" s="355">
        <f t="shared" si="33"/>
        <v>134783.76315789475</v>
      </c>
      <c r="H39" s="337">
        <f t="shared" si="34"/>
        <v>134783.76315789475</v>
      </c>
      <c r="I39" s="52">
        <f t="shared" si="4"/>
        <v>0</v>
      </c>
      <c r="J39" s="52"/>
      <c r="K39" s="115"/>
      <c r="L39" s="54">
        <f t="shared" si="35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761244.14907198807</v>
      </c>
      <c r="E40" s="354">
        <f t="shared" si="31"/>
        <v>45411.76315789474</v>
      </c>
      <c r="F40" s="55">
        <f t="shared" si="32"/>
        <v>715832.38591409335</v>
      </c>
      <c r="G40" s="355">
        <f t="shared" si="33"/>
        <v>129452.76315789475</v>
      </c>
      <c r="H40" s="337">
        <f t="shared" si="34"/>
        <v>129452.76315789475</v>
      </c>
      <c r="I40" s="52">
        <f t="shared" si="4"/>
        <v>0</v>
      </c>
      <c r="J40" s="52"/>
      <c r="K40" s="115"/>
      <c r="L40" s="54">
        <f t="shared" si="35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715832.38591409335</v>
      </c>
      <c r="E41" s="354">
        <f t="shared" si="31"/>
        <v>45411.76315789474</v>
      </c>
      <c r="F41" s="55">
        <f t="shared" si="32"/>
        <v>670420.62275619863</v>
      </c>
      <c r="G41" s="355">
        <f t="shared" si="33"/>
        <v>124120.76315789475</v>
      </c>
      <c r="H41" s="337">
        <f t="shared" si="34"/>
        <v>124120.76315789475</v>
      </c>
      <c r="I41" s="52">
        <f t="shared" si="4"/>
        <v>0</v>
      </c>
      <c r="J41" s="52"/>
      <c r="K41" s="115"/>
      <c r="L41" s="54">
        <f t="shared" si="35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670420.62275619863</v>
      </c>
      <c r="E42" s="354">
        <f t="shared" si="31"/>
        <v>45411.76315789474</v>
      </c>
      <c r="F42" s="55">
        <f t="shared" si="32"/>
        <v>625008.85959830391</v>
      </c>
      <c r="G42" s="355">
        <f t="shared" si="33"/>
        <v>118789.76315789475</v>
      </c>
      <c r="H42" s="337">
        <f t="shared" si="34"/>
        <v>118789.76315789475</v>
      </c>
      <c r="I42" s="52">
        <f t="shared" si="4"/>
        <v>0</v>
      </c>
      <c r="J42" s="52"/>
      <c r="K42" s="115"/>
      <c r="L42" s="54">
        <f t="shared" si="35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625008.85959830391</v>
      </c>
      <c r="E43" s="354">
        <f t="shared" si="31"/>
        <v>45411.76315789474</v>
      </c>
      <c r="F43" s="55">
        <f t="shared" si="32"/>
        <v>579597.09644040919</v>
      </c>
      <c r="G43" s="355">
        <f t="shared" si="33"/>
        <v>113457.76315789475</v>
      </c>
      <c r="H43" s="337">
        <f t="shared" si="34"/>
        <v>113457.76315789475</v>
      </c>
      <c r="I43" s="52">
        <f t="shared" si="4"/>
        <v>0</v>
      </c>
      <c r="J43" s="52"/>
      <c r="K43" s="115"/>
      <c r="L43" s="54">
        <f t="shared" si="35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579597.09644040919</v>
      </c>
      <c r="E44" s="354">
        <f t="shared" si="31"/>
        <v>45411.76315789474</v>
      </c>
      <c r="F44" s="55">
        <f t="shared" si="32"/>
        <v>534185.33328251448</v>
      </c>
      <c r="G44" s="355">
        <f t="shared" si="33"/>
        <v>108126.76315789475</v>
      </c>
      <c r="H44" s="337">
        <f t="shared" si="34"/>
        <v>108126.76315789475</v>
      </c>
      <c r="I44" s="52">
        <f t="shared" si="4"/>
        <v>0</v>
      </c>
      <c r="J44" s="52"/>
      <c r="K44" s="115"/>
      <c r="L44" s="54">
        <f t="shared" si="35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534185.33328251448</v>
      </c>
      <c r="E45" s="354">
        <f t="shared" si="31"/>
        <v>45411.76315789474</v>
      </c>
      <c r="F45" s="55">
        <f t="shared" si="32"/>
        <v>488773.57012461976</v>
      </c>
      <c r="G45" s="355">
        <f t="shared" si="33"/>
        <v>102794.76315789475</v>
      </c>
      <c r="H45" s="337">
        <f t="shared" si="34"/>
        <v>102794.76315789475</v>
      </c>
      <c r="I45" s="52">
        <f t="shared" si="4"/>
        <v>0</v>
      </c>
      <c r="J45" s="52"/>
      <c r="K45" s="115"/>
      <c r="L45" s="54">
        <f t="shared" si="35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488773.57012461976</v>
      </c>
      <c r="E46" s="354">
        <f t="shared" si="31"/>
        <v>45411.76315789474</v>
      </c>
      <c r="F46" s="55">
        <f t="shared" si="32"/>
        <v>443361.80696672504</v>
      </c>
      <c r="G46" s="355">
        <f t="shared" si="33"/>
        <v>97463.763157894748</v>
      </c>
      <c r="H46" s="337">
        <f t="shared" si="34"/>
        <v>97463.763157894748</v>
      </c>
      <c r="I46" s="52">
        <f t="shared" si="4"/>
        <v>0</v>
      </c>
      <c r="J46" s="52"/>
      <c r="K46" s="115"/>
      <c r="L46" s="54">
        <f t="shared" si="35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443361.80696672504</v>
      </c>
      <c r="E47" s="354">
        <f t="shared" si="31"/>
        <v>45411.76315789474</v>
      </c>
      <c r="F47" s="55">
        <f t="shared" si="32"/>
        <v>397950.04380883032</v>
      </c>
      <c r="G47" s="355">
        <f t="shared" si="33"/>
        <v>92131.763157894748</v>
      </c>
      <c r="H47" s="337">
        <f t="shared" si="34"/>
        <v>92131.763157894748</v>
      </c>
      <c r="I47" s="52">
        <f t="shared" si="4"/>
        <v>0</v>
      </c>
      <c r="J47" s="52"/>
      <c r="K47" s="115"/>
      <c r="L47" s="54">
        <f t="shared" si="35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397950.04380883032</v>
      </c>
      <c r="E48" s="354">
        <f t="shared" si="31"/>
        <v>45411.76315789474</v>
      </c>
      <c r="F48" s="55">
        <f t="shared" si="32"/>
        <v>352538.2806509356</v>
      </c>
      <c r="G48" s="355">
        <f t="shared" si="33"/>
        <v>86800.763157894748</v>
      </c>
      <c r="H48" s="337">
        <f t="shared" si="34"/>
        <v>86800.763157894748</v>
      </c>
      <c r="I48" s="52">
        <f t="shared" si="4"/>
        <v>0</v>
      </c>
      <c r="J48" s="52"/>
      <c r="K48" s="115"/>
      <c r="L48" s="54">
        <f t="shared" si="35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22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352538.2806509356</v>
      </c>
      <c r="E49" s="354">
        <f t="shared" si="31"/>
        <v>45411.76315789474</v>
      </c>
      <c r="F49" s="55">
        <f t="shared" si="32"/>
        <v>307126.51749304088</v>
      </c>
      <c r="G49" s="355">
        <f t="shared" si="33"/>
        <v>81468.763157894748</v>
      </c>
      <c r="H49" s="337">
        <f t="shared" si="34"/>
        <v>81468.763157894748</v>
      </c>
      <c r="I49" s="52">
        <f t="shared" si="4"/>
        <v>0</v>
      </c>
      <c r="J49" s="52"/>
      <c r="K49" s="115"/>
      <c r="L49" s="54">
        <f t="shared" si="35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22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307126.51749304088</v>
      </c>
      <c r="E50" s="354">
        <f t="shared" si="31"/>
        <v>45411.76315789474</v>
      </c>
      <c r="F50" s="55">
        <f t="shared" si="32"/>
        <v>261714.75433514614</v>
      </c>
      <c r="G50" s="355">
        <f t="shared" si="33"/>
        <v>76137.763157894748</v>
      </c>
      <c r="H50" s="337">
        <f t="shared" si="34"/>
        <v>76137.763157894748</v>
      </c>
      <c r="I50" s="52">
        <f t="shared" si="4"/>
        <v>0</v>
      </c>
      <c r="J50" s="52"/>
      <c r="K50" s="115"/>
      <c r="L50" s="54">
        <f t="shared" si="35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22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261714.75433514614</v>
      </c>
      <c r="E51" s="354">
        <f t="shared" si="31"/>
        <v>45411.76315789474</v>
      </c>
      <c r="F51" s="55">
        <f t="shared" si="32"/>
        <v>216302.99117725139</v>
      </c>
      <c r="G51" s="355">
        <f t="shared" si="33"/>
        <v>70806.763157894748</v>
      </c>
      <c r="H51" s="337">
        <f t="shared" si="34"/>
        <v>70806.763157894748</v>
      </c>
      <c r="I51" s="52">
        <f t="shared" si="4"/>
        <v>0</v>
      </c>
      <c r="J51" s="52"/>
      <c r="K51" s="115"/>
      <c r="L51" s="54">
        <f t="shared" si="35"/>
        <v>0</v>
      </c>
      <c r="M51" s="115"/>
      <c r="N51" s="54">
        <f t="shared" si="5"/>
        <v>0</v>
      </c>
      <c r="O51" s="54">
        <f t="shared" si="6"/>
        <v>0</v>
      </c>
      <c r="P51" s="1"/>
      <c r="V51" t="s">
        <v>455</v>
      </c>
    </row>
    <row r="52" spans="2:22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216302.99117725139</v>
      </c>
      <c r="E52" s="354">
        <f t="shared" si="31"/>
        <v>45411.76315789474</v>
      </c>
      <c r="F52" s="55">
        <f t="shared" si="32"/>
        <v>170891.22801935664</v>
      </c>
      <c r="G52" s="355">
        <f t="shared" si="33"/>
        <v>65474.76315789474</v>
      </c>
      <c r="H52" s="337">
        <f t="shared" si="34"/>
        <v>65474.76315789474</v>
      </c>
      <c r="I52" s="52">
        <f t="shared" si="4"/>
        <v>0</v>
      </c>
      <c r="J52" s="52"/>
      <c r="K52" s="115"/>
      <c r="L52" s="54">
        <f t="shared" si="35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22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170891.22801935664</v>
      </c>
      <c r="E53" s="354">
        <f t="shared" si="31"/>
        <v>45411.76315789474</v>
      </c>
      <c r="F53" s="55">
        <f t="shared" si="32"/>
        <v>125479.46486146189</v>
      </c>
      <c r="G53" s="355">
        <f t="shared" si="33"/>
        <v>60143.76315789474</v>
      </c>
      <c r="H53" s="337">
        <f t="shared" si="34"/>
        <v>60143.76315789474</v>
      </c>
      <c r="I53" s="52">
        <f t="shared" si="4"/>
        <v>0</v>
      </c>
      <c r="J53" s="52"/>
      <c r="K53" s="115"/>
      <c r="L53" s="54">
        <f t="shared" si="35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22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125479.46486146189</v>
      </c>
      <c r="E54" s="354">
        <f t="shared" si="31"/>
        <v>45411.76315789474</v>
      </c>
      <c r="F54" s="55">
        <f t="shared" si="32"/>
        <v>80067.701703567145</v>
      </c>
      <c r="G54" s="355">
        <f t="shared" si="33"/>
        <v>54811.76315789474</v>
      </c>
      <c r="H54" s="337">
        <f t="shared" si="34"/>
        <v>54811.76315789474</v>
      </c>
      <c r="I54" s="52">
        <f t="shared" si="4"/>
        <v>0</v>
      </c>
      <c r="J54" s="52"/>
      <c r="K54" s="115"/>
      <c r="L54" s="54">
        <f t="shared" si="35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22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80067.701703567145</v>
      </c>
      <c r="E55" s="354">
        <f t="shared" si="31"/>
        <v>45411.76315789474</v>
      </c>
      <c r="F55" s="55">
        <f t="shared" si="32"/>
        <v>34655.938545672405</v>
      </c>
      <c r="G55" s="355">
        <f t="shared" si="33"/>
        <v>49480.76315789474</v>
      </c>
      <c r="H55" s="337">
        <f t="shared" si="34"/>
        <v>49480.76315789474</v>
      </c>
      <c r="I55" s="52">
        <f t="shared" si="4"/>
        <v>0</v>
      </c>
      <c r="J55" s="52"/>
      <c r="K55" s="115"/>
      <c r="L55" s="54">
        <f t="shared" si="35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22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34655.938545672405</v>
      </c>
      <c r="E56" s="354">
        <f t="shared" si="31"/>
        <v>34655.938545672405</v>
      </c>
      <c r="F56" s="55">
        <f t="shared" si="32"/>
        <v>0</v>
      </c>
      <c r="G56" s="355">
        <f t="shared" si="33"/>
        <v>34655.938545672405</v>
      </c>
      <c r="H56" s="337">
        <f t="shared" si="34"/>
        <v>34655.938545672405</v>
      </c>
      <c r="I56" s="52">
        <f t="shared" si="4"/>
        <v>0</v>
      </c>
      <c r="J56" s="52"/>
      <c r="K56" s="115"/>
      <c r="L56" s="54">
        <f t="shared" si="35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22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31"/>
        <v>0</v>
      </c>
      <c r="F57" s="55">
        <f t="shared" si="32"/>
        <v>0</v>
      </c>
      <c r="G57" s="355">
        <f t="shared" si="33"/>
        <v>0</v>
      </c>
      <c r="H57" s="337">
        <f t="shared" si="34"/>
        <v>0</v>
      </c>
      <c r="I57" s="52">
        <f t="shared" si="4"/>
        <v>0</v>
      </c>
      <c r="J57" s="52"/>
      <c r="K57" s="115"/>
      <c r="L57" s="54">
        <f t="shared" si="35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22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31"/>
        <v>0</v>
      </c>
      <c r="F58" s="55">
        <f t="shared" si="32"/>
        <v>0</v>
      </c>
      <c r="G58" s="355">
        <f t="shared" si="33"/>
        <v>0</v>
      </c>
      <c r="H58" s="337">
        <f t="shared" si="34"/>
        <v>0</v>
      </c>
      <c r="I58" s="52">
        <f t="shared" si="4"/>
        <v>0</v>
      </c>
      <c r="J58" s="52"/>
      <c r="K58" s="115"/>
      <c r="L58" s="54">
        <f t="shared" si="35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22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31"/>
        <v>0</v>
      </c>
      <c r="F59" s="55">
        <f t="shared" si="32"/>
        <v>0</v>
      </c>
      <c r="G59" s="355">
        <f t="shared" si="33"/>
        <v>0</v>
      </c>
      <c r="H59" s="337">
        <f t="shared" si="34"/>
        <v>0</v>
      </c>
      <c r="I59" s="52">
        <f t="shared" si="4"/>
        <v>0</v>
      </c>
      <c r="J59" s="52"/>
      <c r="K59" s="115"/>
      <c r="L59" s="54">
        <f t="shared" si="35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22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31"/>
        <v>0</v>
      </c>
      <c r="F60" s="55">
        <f t="shared" si="32"/>
        <v>0</v>
      </c>
      <c r="G60" s="355">
        <f t="shared" si="33"/>
        <v>0</v>
      </c>
      <c r="H60" s="337">
        <f t="shared" si="34"/>
        <v>0</v>
      </c>
      <c r="I60" s="52">
        <f t="shared" si="4"/>
        <v>0</v>
      </c>
      <c r="J60" s="52"/>
      <c r="K60" s="115"/>
      <c r="L60" s="54">
        <f t="shared" si="35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22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31"/>
        <v>0</v>
      </c>
      <c r="F61" s="55">
        <f t="shared" si="32"/>
        <v>0</v>
      </c>
      <c r="G61" s="355">
        <f t="shared" si="33"/>
        <v>0</v>
      </c>
      <c r="H61" s="337">
        <f t="shared" si="34"/>
        <v>0</v>
      </c>
      <c r="I61" s="52">
        <f t="shared" si="4"/>
        <v>0</v>
      </c>
      <c r="J61" s="52"/>
      <c r="K61" s="115"/>
      <c r="L61" s="54">
        <f t="shared" si="35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22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31"/>
        <v>0</v>
      </c>
      <c r="F62" s="55">
        <f t="shared" si="32"/>
        <v>0</v>
      </c>
      <c r="G62" s="355">
        <f t="shared" si="33"/>
        <v>0</v>
      </c>
      <c r="H62" s="337">
        <f t="shared" si="34"/>
        <v>0</v>
      </c>
      <c r="I62" s="52">
        <f t="shared" si="4"/>
        <v>0</v>
      </c>
      <c r="J62" s="52"/>
      <c r="K62" s="115"/>
      <c r="L62" s="54">
        <f t="shared" si="35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22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31"/>
        <v>0</v>
      </c>
      <c r="F63" s="55">
        <f t="shared" si="32"/>
        <v>0</v>
      </c>
      <c r="G63" s="355">
        <f t="shared" si="33"/>
        <v>0</v>
      </c>
      <c r="H63" s="337">
        <f t="shared" si="34"/>
        <v>0</v>
      </c>
      <c r="I63" s="52">
        <f t="shared" si="4"/>
        <v>0</v>
      </c>
      <c r="J63" s="52"/>
      <c r="K63" s="115"/>
      <c r="L63" s="54">
        <f t="shared" si="35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22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31"/>
        <v>0</v>
      </c>
      <c r="F64" s="55">
        <f t="shared" si="32"/>
        <v>0</v>
      </c>
      <c r="G64" s="355">
        <f t="shared" si="33"/>
        <v>0</v>
      </c>
      <c r="H64" s="337">
        <f t="shared" si="34"/>
        <v>0</v>
      </c>
      <c r="I64" s="52">
        <f t="shared" si="4"/>
        <v>0</v>
      </c>
      <c r="J64" s="52"/>
      <c r="K64" s="115"/>
      <c r="L64" s="54">
        <f t="shared" si="35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31"/>
        <v>0</v>
      </c>
      <c r="F65" s="55">
        <f t="shared" si="32"/>
        <v>0</v>
      </c>
      <c r="G65" s="355">
        <f t="shared" si="33"/>
        <v>0</v>
      </c>
      <c r="H65" s="337">
        <f t="shared" si="34"/>
        <v>0</v>
      </c>
      <c r="I65" s="52">
        <f t="shared" si="4"/>
        <v>0</v>
      </c>
      <c r="J65" s="52"/>
      <c r="K65" s="115"/>
      <c r="L65" s="54">
        <f t="shared" si="35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31"/>
        <v>0</v>
      </c>
      <c r="F66" s="55">
        <f t="shared" si="32"/>
        <v>0</v>
      </c>
      <c r="G66" s="355">
        <f t="shared" si="33"/>
        <v>0</v>
      </c>
      <c r="H66" s="337">
        <f t="shared" si="34"/>
        <v>0</v>
      </c>
      <c r="I66" s="52">
        <f t="shared" si="4"/>
        <v>0</v>
      </c>
      <c r="J66" s="52"/>
      <c r="K66" s="115"/>
      <c r="L66" s="54">
        <f t="shared" si="35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31"/>
        <v>0</v>
      </c>
      <c r="F67" s="55">
        <f t="shared" si="32"/>
        <v>0</v>
      </c>
      <c r="G67" s="355">
        <f t="shared" si="33"/>
        <v>0</v>
      </c>
      <c r="H67" s="337">
        <f t="shared" si="34"/>
        <v>0</v>
      </c>
      <c r="I67" s="52">
        <f t="shared" si="4"/>
        <v>0</v>
      </c>
      <c r="J67" s="52"/>
      <c r="K67" s="115"/>
      <c r="L67" s="54">
        <f t="shared" si="35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31"/>
        <v>0</v>
      </c>
      <c r="F68" s="55">
        <f t="shared" si="32"/>
        <v>0</v>
      </c>
      <c r="G68" s="355">
        <f t="shared" si="33"/>
        <v>0</v>
      </c>
      <c r="H68" s="337">
        <f t="shared" si="34"/>
        <v>0</v>
      </c>
      <c r="I68" s="52">
        <f t="shared" si="4"/>
        <v>0</v>
      </c>
      <c r="J68" s="52"/>
      <c r="K68" s="115"/>
      <c r="L68" s="54">
        <f t="shared" si="35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31"/>
        <v>0</v>
      </c>
      <c r="F69" s="55">
        <f t="shared" si="32"/>
        <v>0</v>
      </c>
      <c r="G69" s="355">
        <f t="shared" si="33"/>
        <v>0</v>
      </c>
      <c r="H69" s="337">
        <f t="shared" si="34"/>
        <v>0</v>
      </c>
      <c r="I69" s="52">
        <f t="shared" si="4"/>
        <v>0</v>
      </c>
      <c r="J69" s="52"/>
      <c r="K69" s="115"/>
      <c r="L69" s="54">
        <f t="shared" si="35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31"/>
        <v>0</v>
      </c>
      <c r="F70" s="55">
        <f t="shared" si="32"/>
        <v>0</v>
      </c>
      <c r="G70" s="355">
        <f t="shared" si="33"/>
        <v>0</v>
      </c>
      <c r="H70" s="337">
        <f t="shared" si="34"/>
        <v>0</v>
      </c>
      <c r="I70" s="52">
        <f t="shared" si="4"/>
        <v>0</v>
      </c>
      <c r="J70" s="52"/>
      <c r="K70" s="115"/>
      <c r="L70" s="54">
        <f t="shared" si="35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31"/>
        <v>0</v>
      </c>
      <c r="F71" s="55">
        <f t="shared" si="32"/>
        <v>0</v>
      </c>
      <c r="G71" s="355">
        <f t="shared" si="33"/>
        <v>0</v>
      </c>
      <c r="H71" s="337">
        <f t="shared" si="34"/>
        <v>0</v>
      </c>
      <c r="I71" s="52">
        <f t="shared" si="4"/>
        <v>0</v>
      </c>
      <c r="J71" s="52"/>
      <c r="K71" s="115"/>
      <c r="L71" s="54">
        <f t="shared" si="35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31"/>
        <v>0</v>
      </c>
      <c r="F72" s="59">
        <f t="shared" si="32"/>
        <v>0</v>
      </c>
      <c r="G72" s="382">
        <f t="shared" si="33"/>
        <v>0</v>
      </c>
      <c r="H72" s="335">
        <f t="shared" si="34"/>
        <v>0</v>
      </c>
      <c r="I72" s="61">
        <f t="shared" si="4"/>
        <v>0</v>
      </c>
      <c r="J72" s="52"/>
      <c r="K72" s="116"/>
      <c r="L72" s="62">
        <f t="shared" si="35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7"/>
      <c r="E73" s="267">
        <f>SUM(E17:E72)</f>
        <v>1725647.0000000009</v>
      </c>
      <c r="F73" s="267"/>
      <c r="G73" s="267">
        <f>SUM(G17:G72)</f>
        <v>5871946.0684331506</v>
      </c>
      <c r="H73" s="267">
        <f>SUM(H17:H72)</f>
        <v>5871946.0684331506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18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193977.76315789475</v>
      </c>
      <c r="N87" s="364">
        <f>IF(J92&lt;D11,0,VLOOKUP(J92,C17:O72,11))</f>
        <v>193977.76315789475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225540.64299495853</v>
      </c>
      <c r="N88" s="367">
        <f>IF(J92&lt;D11,0,VLOOKUP(J92,C99:P154,7))</f>
        <v>225540.64299495853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Darlington-Red Rock 138 kV line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31562.879837063781</v>
      </c>
      <c r="N89" s="369">
        <f>+N88-N87</f>
        <v>31562.879837063781</v>
      </c>
      <c r="O89" s="370">
        <f>+O88-O87</f>
        <v>0</v>
      </c>
      <c r="P89" s="1"/>
    </row>
    <row r="90" spans="1:16" ht="13.5" thickBot="1">
      <c r="C90" s="30"/>
      <c r="D90" s="435" t="s">
        <v>274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TP2012112</v>
      </c>
      <c r="E91" s="74" t="str">
        <f>E9</f>
        <v xml:space="preserve">  SPP Project ID = 30746</v>
      </c>
      <c r="F91" s="74"/>
      <c r="G91" s="74"/>
      <c r="H91" s="74"/>
      <c r="I91" s="74"/>
      <c r="J91" s="74"/>
    </row>
    <row r="92" spans="1:16" ht="13">
      <c r="C92" s="128" t="s">
        <v>226</v>
      </c>
      <c r="D92" s="434">
        <v>1725647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46639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2014</v>
      </c>
      <c r="D99" s="411"/>
      <c r="E99" s="412"/>
      <c r="F99" s="413"/>
      <c r="G99" s="430"/>
      <c r="H99" s="431"/>
      <c r="I99" s="432"/>
      <c r="J99" s="54">
        <v>0</v>
      </c>
      <c r="K99" s="54"/>
      <c r="L99" s="324">
        <f t="shared" ref="L99:L105" si="36">H99</f>
        <v>0</v>
      </c>
      <c r="M99" s="63">
        <f t="shared" ref="M99:M105" si="37">IF(L99&lt;&gt;0,+H99-L99,0)</f>
        <v>0</v>
      </c>
      <c r="N99" s="324">
        <f t="shared" ref="N99:N105" si="38">I99</f>
        <v>0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05">
        <v>1703523.1724358976</v>
      </c>
      <c r="E100" s="406">
        <v>32760</v>
      </c>
      <c r="F100" s="405">
        <v>1670763.1724358976</v>
      </c>
      <c r="G100" s="406">
        <v>1687143.1724358976</v>
      </c>
      <c r="H100" s="428">
        <v>262957.1205792831</v>
      </c>
      <c r="I100" s="405">
        <v>262957.1205792831</v>
      </c>
      <c r="J100" s="54">
        <f>+I100-H100</f>
        <v>0</v>
      </c>
      <c r="K100" s="54"/>
      <c r="L100" s="324">
        <f t="shared" si="36"/>
        <v>262957.1205792831</v>
      </c>
      <c r="M100" s="63">
        <f t="shared" si="37"/>
        <v>0</v>
      </c>
      <c r="N100" s="324">
        <f t="shared" si="38"/>
        <v>262957.1205792831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9">IF(D101=F100,"","IU")</f>
        <v>IU</v>
      </c>
      <c r="C101" s="50">
        <f>IF(D93="","-",+C100+1)</f>
        <v>2016</v>
      </c>
      <c r="D101" s="405">
        <v>1692887</v>
      </c>
      <c r="E101" s="406">
        <v>37514</v>
      </c>
      <c r="F101" s="405">
        <v>1655373</v>
      </c>
      <c r="G101" s="406">
        <v>1674130</v>
      </c>
      <c r="H101" s="428">
        <v>250555.65084872485</v>
      </c>
      <c r="I101" s="405">
        <v>250555.65084872485</v>
      </c>
      <c r="J101" s="54">
        <f t="shared" ref="J101:J154" si="40">+I101-H101</f>
        <v>0</v>
      </c>
      <c r="K101" s="54"/>
      <c r="L101" s="324">
        <f t="shared" si="36"/>
        <v>250555.65084872485</v>
      </c>
      <c r="M101" s="63">
        <f t="shared" si="37"/>
        <v>0</v>
      </c>
      <c r="N101" s="324">
        <f t="shared" si="38"/>
        <v>250555.65084872485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9"/>
        <v/>
      </c>
      <c r="C102" s="50">
        <f>IF(D93="","-",+C101+1)</f>
        <v>2017</v>
      </c>
      <c r="D102" s="405">
        <v>1655373</v>
      </c>
      <c r="E102" s="406">
        <v>37514</v>
      </c>
      <c r="F102" s="405">
        <v>1617859</v>
      </c>
      <c r="G102" s="406">
        <v>1636616</v>
      </c>
      <c r="H102" s="428">
        <v>245122.86632871011</v>
      </c>
      <c r="I102" s="405">
        <v>245122.86632871011</v>
      </c>
      <c r="J102" s="54">
        <f t="shared" si="40"/>
        <v>0</v>
      </c>
      <c r="K102" s="54"/>
      <c r="L102" s="324">
        <f t="shared" si="36"/>
        <v>245122.86632871011</v>
      </c>
      <c r="M102" s="63">
        <f t="shared" si="37"/>
        <v>0</v>
      </c>
      <c r="N102" s="324">
        <f t="shared" si="38"/>
        <v>245122.86632871011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9"/>
        <v/>
      </c>
      <c r="C103" s="50">
        <f>IF(D93="","-",+C102+1)</f>
        <v>2018</v>
      </c>
      <c r="D103" s="405">
        <v>1617859</v>
      </c>
      <c r="E103" s="406">
        <v>40131</v>
      </c>
      <c r="F103" s="405">
        <v>1577728</v>
      </c>
      <c r="G103" s="406">
        <v>1597793.5</v>
      </c>
      <c r="H103" s="428">
        <v>204281.22089486517</v>
      </c>
      <c r="I103" s="405">
        <v>204281.22089486517</v>
      </c>
      <c r="J103" s="54">
        <f t="shared" si="40"/>
        <v>0</v>
      </c>
      <c r="K103" s="54"/>
      <c r="L103" s="324">
        <f t="shared" si="36"/>
        <v>204281.22089486517</v>
      </c>
      <c r="M103" s="63">
        <f t="shared" si="37"/>
        <v>0</v>
      </c>
      <c r="N103" s="324">
        <f t="shared" si="38"/>
        <v>204281.22089486517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9"/>
        <v/>
      </c>
      <c r="C104" s="50">
        <f>IF(D93="","-",+C103+1)</f>
        <v>2019</v>
      </c>
      <c r="D104" s="405">
        <v>1577728</v>
      </c>
      <c r="E104" s="406">
        <v>42089</v>
      </c>
      <c r="F104" s="405">
        <v>1535639</v>
      </c>
      <c r="G104" s="406">
        <v>1556683.5</v>
      </c>
      <c r="H104" s="428">
        <v>202604.90301828689</v>
      </c>
      <c r="I104" s="405">
        <v>202604.90301828689</v>
      </c>
      <c r="J104" s="54">
        <f t="shared" si="40"/>
        <v>0</v>
      </c>
      <c r="K104" s="54"/>
      <c r="L104" s="324">
        <f t="shared" si="36"/>
        <v>202604.90301828689</v>
      </c>
      <c r="M104" s="63">
        <f t="shared" si="37"/>
        <v>0</v>
      </c>
      <c r="N104" s="324">
        <f t="shared" si="38"/>
        <v>202604.90301828689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 ht="12.5">
      <c r="B105" s="7" t="str">
        <f t="shared" si="39"/>
        <v/>
      </c>
      <c r="C105" s="50">
        <f>IF(D93="","-",+C104+1)</f>
        <v>2020</v>
      </c>
      <c r="D105" s="405">
        <v>1535639</v>
      </c>
      <c r="E105" s="406">
        <v>40131</v>
      </c>
      <c r="F105" s="405">
        <v>1495508</v>
      </c>
      <c r="G105" s="406">
        <v>1515573.5</v>
      </c>
      <c r="H105" s="428">
        <v>214872.45782422918</v>
      </c>
      <c r="I105" s="405">
        <v>214872.45782422918</v>
      </c>
      <c r="J105" s="54">
        <f t="shared" si="40"/>
        <v>0</v>
      </c>
      <c r="K105" s="54"/>
      <c r="L105" s="324">
        <f t="shared" si="36"/>
        <v>214872.45782422918</v>
      </c>
      <c r="M105" s="63">
        <f t="shared" si="37"/>
        <v>0</v>
      </c>
      <c r="N105" s="324">
        <f t="shared" si="38"/>
        <v>214872.45782422918</v>
      </c>
      <c r="O105" s="54">
        <f t="shared" si="41"/>
        <v>0</v>
      </c>
      <c r="P105" s="54">
        <f t="shared" si="42"/>
        <v>0</v>
      </c>
    </row>
    <row r="106" spans="1:16" ht="12.5">
      <c r="B106" s="7" t="str">
        <f t="shared" si="39"/>
        <v/>
      </c>
      <c r="C106" s="50">
        <f>IF(D93="","-",+C105+1)</f>
        <v>2021</v>
      </c>
      <c r="D106" s="405">
        <v>1495508</v>
      </c>
      <c r="E106" s="406">
        <v>42089</v>
      </c>
      <c r="F106" s="405">
        <v>1453419</v>
      </c>
      <c r="G106" s="406">
        <v>1474463.5</v>
      </c>
      <c r="H106" s="428">
        <v>209872.31988794773</v>
      </c>
      <c r="I106" s="405">
        <v>209872.31988794773</v>
      </c>
      <c r="J106" s="54">
        <f t="shared" si="40"/>
        <v>0</v>
      </c>
      <c r="K106" s="54"/>
      <c r="L106" s="324">
        <f t="shared" ref="L106" si="43">H106</f>
        <v>209872.31988794773</v>
      </c>
      <c r="M106" s="63">
        <f t="shared" ref="M106" si="44">IF(L106&lt;&gt;0,+H106-L106,0)</f>
        <v>0</v>
      </c>
      <c r="N106" s="324">
        <f t="shared" ref="N106" si="45">I106</f>
        <v>209872.31988794773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 ht="12.5">
      <c r="B107" s="7" t="str">
        <f t="shared" si="39"/>
        <v/>
      </c>
      <c r="C107" s="450">
        <f>IF(D93="","-",+C106+1)</f>
        <v>2022</v>
      </c>
      <c r="D107" s="405">
        <v>1453419</v>
      </c>
      <c r="E107" s="406">
        <v>44247</v>
      </c>
      <c r="F107" s="405">
        <v>1409172</v>
      </c>
      <c r="G107" s="406">
        <v>1431295.5</v>
      </c>
      <c r="H107" s="428">
        <v>201950.93523897958</v>
      </c>
      <c r="I107" s="405">
        <v>201950.93523897958</v>
      </c>
      <c r="J107" s="54">
        <f t="shared" si="40"/>
        <v>0</v>
      </c>
      <c r="K107" s="54"/>
      <c r="L107" s="324">
        <f t="shared" ref="L107:L108" si="48">H107</f>
        <v>201950.93523897958</v>
      </c>
      <c r="M107" s="63">
        <f t="shared" ref="M107:M108" si="49">IF(L107&lt;&gt;0,+H107-L107,0)</f>
        <v>0</v>
      </c>
      <c r="N107" s="324">
        <f t="shared" ref="N107:N108" si="50">I107</f>
        <v>201950.93523897958</v>
      </c>
      <c r="O107" s="54">
        <f t="shared" ref="O107:O108" si="51">IF(N107&lt;&gt;0,+I107-N107,0)</f>
        <v>0</v>
      </c>
      <c r="P107" s="54">
        <f t="shared" ref="P107:P108" si="52">+O107-M107</f>
        <v>0</v>
      </c>
    </row>
    <row r="108" spans="1:16" ht="12.5">
      <c r="B108" s="7" t="str">
        <f t="shared" si="39"/>
        <v/>
      </c>
      <c r="C108" s="50">
        <f>IF(D93="","-",+C107+1)</f>
        <v>2023</v>
      </c>
      <c r="D108" s="405">
        <v>1409172</v>
      </c>
      <c r="E108" s="406">
        <v>45412</v>
      </c>
      <c r="F108" s="405">
        <v>1363760</v>
      </c>
      <c r="G108" s="406">
        <v>1386466</v>
      </c>
      <c r="H108" s="428">
        <v>203783.92534158818</v>
      </c>
      <c r="I108" s="405">
        <v>203783.92534158818</v>
      </c>
      <c r="J108" s="54">
        <f t="shared" si="40"/>
        <v>0</v>
      </c>
      <c r="K108" s="54"/>
      <c r="L108" s="324">
        <f t="shared" si="48"/>
        <v>203783.92534158818</v>
      </c>
      <c r="M108" s="63">
        <f t="shared" si="49"/>
        <v>0</v>
      </c>
      <c r="N108" s="324">
        <f t="shared" si="50"/>
        <v>203783.92534158818</v>
      </c>
      <c r="O108" s="54">
        <f t="shared" si="51"/>
        <v>0</v>
      </c>
      <c r="P108" s="54">
        <f t="shared" si="52"/>
        <v>0</v>
      </c>
    </row>
    <row r="109" spans="1:16" ht="12.5">
      <c r="B109" s="7" t="str">
        <f t="shared" si="39"/>
        <v/>
      </c>
      <c r="C109" s="50">
        <f>IF(D93="","-",+C108+1)</f>
        <v>2024</v>
      </c>
      <c r="D109" s="405">
        <v>1363760</v>
      </c>
      <c r="E109" s="406">
        <v>45412</v>
      </c>
      <c r="F109" s="405">
        <v>1318348</v>
      </c>
      <c r="G109" s="406">
        <v>1341054</v>
      </c>
      <c r="H109" s="428">
        <v>225540.64299495853</v>
      </c>
      <c r="I109" s="405">
        <v>225540.64299495853</v>
      </c>
      <c r="J109" s="54">
        <f t="shared" si="40"/>
        <v>0</v>
      </c>
      <c r="K109" s="54"/>
      <c r="L109" s="324">
        <f t="shared" ref="L109" si="53">H109</f>
        <v>225540.64299495853</v>
      </c>
      <c r="M109" s="63">
        <f t="shared" ref="M109" si="54">IF(L109&lt;&gt;0,+H109-L109,0)</f>
        <v>0</v>
      </c>
      <c r="N109" s="324">
        <f t="shared" ref="N109" si="55">I109</f>
        <v>225540.64299495853</v>
      </c>
      <c r="O109" s="54">
        <f t="shared" ref="O109" si="56">IF(N109&lt;&gt;0,+I109-N109,0)</f>
        <v>0</v>
      </c>
      <c r="P109" s="54">
        <f t="shared" ref="P109" si="57">+O109-M109</f>
        <v>0</v>
      </c>
    </row>
    <row r="110" spans="1:16" ht="12.5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1318348</v>
      </c>
      <c r="E110" s="354">
        <f t="shared" ref="E110:E154" si="58">IF(+J$96&lt;F109,J$96,D110)</f>
        <v>46639</v>
      </c>
      <c r="F110" s="55">
        <f t="shared" ref="F110:F154" si="59">+D110-E110</f>
        <v>1271709</v>
      </c>
      <c r="G110" s="55">
        <f t="shared" ref="G110:G154" si="60">+(F110+D110)/2</f>
        <v>1295028.5</v>
      </c>
      <c r="H110" s="356">
        <f t="shared" ref="H110:H154" si="61">+J$94*G110+E110</f>
        <v>220585.55721902073</v>
      </c>
      <c r="I110" s="381">
        <f t="shared" ref="I110:I154" si="62">+J$95*G110+E110</f>
        <v>220585.55721902073</v>
      </c>
      <c r="J110" s="54">
        <f t="shared" si="40"/>
        <v>0</v>
      </c>
      <c r="K110" s="54"/>
      <c r="L110" s="115"/>
      <c r="M110" s="54">
        <f t="shared" ref="M110:M130" si="63">IF(L110&lt;&gt;0,+H110-L110,0)</f>
        <v>0</v>
      </c>
      <c r="N110" s="115"/>
      <c r="O110" s="54">
        <f t="shared" si="41"/>
        <v>0</v>
      </c>
      <c r="P110" s="54">
        <f t="shared" si="42"/>
        <v>0</v>
      </c>
    </row>
    <row r="111" spans="1:16" ht="12.5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1271709</v>
      </c>
      <c r="E111" s="354">
        <f t="shared" si="58"/>
        <v>46639</v>
      </c>
      <c r="F111" s="55">
        <f t="shared" si="59"/>
        <v>1225070</v>
      </c>
      <c r="G111" s="55">
        <f t="shared" si="60"/>
        <v>1248389.5</v>
      </c>
      <c r="H111" s="356">
        <f t="shared" si="61"/>
        <v>214321.0669146468</v>
      </c>
      <c r="I111" s="381">
        <f t="shared" si="62"/>
        <v>214321.0669146468</v>
      </c>
      <c r="J111" s="54">
        <f t="shared" si="40"/>
        <v>0</v>
      </c>
      <c r="K111" s="54"/>
      <c r="L111" s="115"/>
      <c r="M111" s="54">
        <f t="shared" si="63"/>
        <v>0</v>
      </c>
      <c r="N111" s="115"/>
      <c r="O111" s="54">
        <f t="shared" si="41"/>
        <v>0</v>
      </c>
      <c r="P111" s="54">
        <f t="shared" si="42"/>
        <v>0</v>
      </c>
    </row>
    <row r="112" spans="1:16" ht="12.5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1225070</v>
      </c>
      <c r="E112" s="354">
        <f t="shared" si="58"/>
        <v>46639</v>
      </c>
      <c r="F112" s="55">
        <f t="shared" si="59"/>
        <v>1178431</v>
      </c>
      <c r="G112" s="55">
        <f t="shared" si="60"/>
        <v>1201750.5</v>
      </c>
      <c r="H112" s="356">
        <f t="shared" si="61"/>
        <v>208056.5766102729</v>
      </c>
      <c r="I112" s="381">
        <f t="shared" si="62"/>
        <v>208056.5766102729</v>
      </c>
      <c r="J112" s="54">
        <f t="shared" si="40"/>
        <v>0</v>
      </c>
      <c r="K112" s="54"/>
      <c r="L112" s="115"/>
      <c r="M112" s="54">
        <f t="shared" si="63"/>
        <v>0</v>
      </c>
      <c r="N112" s="115"/>
      <c r="O112" s="54">
        <f t="shared" si="41"/>
        <v>0</v>
      </c>
      <c r="P112" s="54">
        <f t="shared" si="42"/>
        <v>0</v>
      </c>
    </row>
    <row r="113" spans="2:16" ht="12.5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1178431</v>
      </c>
      <c r="E113" s="354">
        <f t="shared" si="58"/>
        <v>46639</v>
      </c>
      <c r="F113" s="55">
        <f t="shared" si="59"/>
        <v>1131792</v>
      </c>
      <c r="G113" s="55">
        <f t="shared" si="60"/>
        <v>1155111.5</v>
      </c>
      <c r="H113" s="356">
        <f t="shared" si="61"/>
        <v>201792.08630589896</v>
      </c>
      <c r="I113" s="381">
        <f t="shared" si="62"/>
        <v>201792.08630589896</v>
      </c>
      <c r="J113" s="54">
        <f t="shared" si="40"/>
        <v>0</v>
      </c>
      <c r="K113" s="54"/>
      <c r="L113" s="115"/>
      <c r="M113" s="54">
        <f t="shared" si="63"/>
        <v>0</v>
      </c>
      <c r="N113" s="115"/>
      <c r="O113" s="54">
        <f t="shared" si="41"/>
        <v>0</v>
      </c>
      <c r="P113" s="54">
        <f t="shared" si="42"/>
        <v>0</v>
      </c>
    </row>
    <row r="114" spans="2:16" ht="12.5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1131792</v>
      </c>
      <c r="E114" s="354">
        <f t="shared" si="58"/>
        <v>46639</v>
      </c>
      <c r="F114" s="55">
        <f t="shared" si="59"/>
        <v>1085153</v>
      </c>
      <c r="G114" s="55">
        <f t="shared" si="60"/>
        <v>1108472.5</v>
      </c>
      <c r="H114" s="356">
        <f t="shared" si="61"/>
        <v>195527.59600152503</v>
      </c>
      <c r="I114" s="381">
        <f t="shared" si="62"/>
        <v>195527.59600152503</v>
      </c>
      <c r="J114" s="54">
        <f t="shared" si="40"/>
        <v>0</v>
      </c>
      <c r="K114" s="54"/>
      <c r="L114" s="115"/>
      <c r="M114" s="54">
        <f t="shared" si="63"/>
        <v>0</v>
      </c>
      <c r="N114" s="115"/>
      <c r="O114" s="54">
        <f t="shared" si="41"/>
        <v>0</v>
      </c>
      <c r="P114" s="54">
        <f t="shared" si="42"/>
        <v>0</v>
      </c>
    </row>
    <row r="115" spans="2:16" ht="12.5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1085153</v>
      </c>
      <c r="E115" s="354">
        <f t="shared" si="58"/>
        <v>46639</v>
      </c>
      <c r="F115" s="55">
        <f t="shared" si="59"/>
        <v>1038514</v>
      </c>
      <c r="G115" s="55">
        <f t="shared" si="60"/>
        <v>1061833.5</v>
      </c>
      <c r="H115" s="356">
        <f t="shared" si="61"/>
        <v>189263.1056971511</v>
      </c>
      <c r="I115" s="381">
        <f t="shared" si="62"/>
        <v>189263.1056971511</v>
      </c>
      <c r="J115" s="54">
        <f t="shared" si="40"/>
        <v>0</v>
      </c>
      <c r="K115" s="54"/>
      <c r="L115" s="115"/>
      <c r="M115" s="54">
        <f t="shared" si="63"/>
        <v>0</v>
      </c>
      <c r="N115" s="115"/>
      <c r="O115" s="54">
        <f t="shared" si="41"/>
        <v>0</v>
      </c>
      <c r="P115" s="54">
        <f t="shared" si="42"/>
        <v>0</v>
      </c>
    </row>
    <row r="116" spans="2:16" ht="12.5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1038514</v>
      </c>
      <c r="E116" s="354">
        <f t="shared" si="58"/>
        <v>46639</v>
      </c>
      <c r="F116" s="55">
        <f t="shared" si="59"/>
        <v>991875</v>
      </c>
      <c r="G116" s="55">
        <f t="shared" si="60"/>
        <v>1015194.5</v>
      </c>
      <c r="H116" s="356">
        <f t="shared" si="61"/>
        <v>182998.6153927772</v>
      </c>
      <c r="I116" s="381">
        <f t="shared" si="62"/>
        <v>182998.6153927772</v>
      </c>
      <c r="J116" s="54">
        <f t="shared" si="40"/>
        <v>0</v>
      </c>
      <c r="K116" s="54"/>
      <c r="L116" s="115"/>
      <c r="M116" s="54">
        <f t="shared" si="63"/>
        <v>0</v>
      </c>
      <c r="N116" s="115"/>
      <c r="O116" s="54">
        <f t="shared" si="41"/>
        <v>0</v>
      </c>
      <c r="P116" s="54">
        <f t="shared" si="42"/>
        <v>0</v>
      </c>
    </row>
    <row r="117" spans="2:16" ht="12.5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991875</v>
      </c>
      <c r="E117" s="354">
        <f t="shared" si="58"/>
        <v>46639</v>
      </c>
      <c r="F117" s="55">
        <f t="shared" si="59"/>
        <v>945236</v>
      </c>
      <c r="G117" s="55">
        <f t="shared" si="60"/>
        <v>968555.5</v>
      </c>
      <c r="H117" s="356">
        <f t="shared" si="61"/>
        <v>176734.12508840326</v>
      </c>
      <c r="I117" s="381">
        <f t="shared" si="62"/>
        <v>176734.12508840326</v>
      </c>
      <c r="J117" s="54">
        <f t="shared" si="40"/>
        <v>0</v>
      </c>
      <c r="K117" s="54"/>
      <c r="L117" s="115"/>
      <c r="M117" s="54">
        <f t="shared" si="63"/>
        <v>0</v>
      </c>
      <c r="N117" s="115"/>
      <c r="O117" s="54">
        <f t="shared" si="41"/>
        <v>0</v>
      </c>
      <c r="P117" s="54">
        <f t="shared" si="42"/>
        <v>0</v>
      </c>
    </row>
    <row r="118" spans="2:16" ht="12.5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945236</v>
      </c>
      <c r="E118" s="354">
        <f t="shared" si="58"/>
        <v>46639</v>
      </c>
      <c r="F118" s="55">
        <f t="shared" si="59"/>
        <v>898597</v>
      </c>
      <c r="G118" s="55">
        <f t="shared" si="60"/>
        <v>921916.5</v>
      </c>
      <c r="H118" s="356">
        <f t="shared" si="61"/>
        <v>170469.63478402933</v>
      </c>
      <c r="I118" s="381">
        <f t="shared" si="62"/>
        <v>170469.63478402933</v>
      </c>
      <c r="J118" s="54">
        <f t="shared" si="40"/>
        <v>0</v>
      </c>
      <c r="K118" s="54"/>
      <c r="L118" s="115"/>
      <c r="M118" s="54">
        <f t="shared" si="63"/>
        <v>0</v>
      </c>
      <c r="N118" s="115"/>
      <c r="O118" s="54">
        <f t="shared" si="41"/>
        <v>0</v>
      </c>
      <c r="P118" s="54">
        <f t="shared" si="42"/>
        <v>0</v>
      </c>
    </row>
    <row r="119" spans="2:16" ht="12.5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898597</v>
      </c>
      <c r="E119" s="354">
        <f t="shared" si="58"/>
        <v>46639</v>
      </c>
      <c r="F119" s="55">
        <f t="shared" si="59"/>
        <v>851958</v>
      </c>
      <c r="G119" s="55">
        <f t="shared" si="60"/>
        <v>875277.5</v>
      </c>
      <c r="H119" s="356">
        <f t="shared" si="61"/>
        <v>164205.14447965543</v>
      </c>
      <c r="I119" s="381">
        <f t="shared" si="62"/>
        <v>164205.14447965543</v>
      </c>
      <c r="J119" s="54">
        <f t="shared" si="40"/>
        <v>0</v>
      </c>
      <c r="K119" s="54"/>
      <c r="L119" s="115"/>
      <c r="M119" s="54">
        <f t="shared" si="63"/>
        <v>0</v>
      </c>
      <c r="N119" s="115"/>
      <c r="O119" s="54">
        <f t="shared" si="41"/>
        <v>0</v>
      </c>
      <c r="P119" s="54">
        <f t="shared" si="42"/>
        <v>0</v>
      </c>
    </row>
    <row r="120" spans="2:16" ht="12.5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851958</v>
      </c>
      <c r="E120" s="354">
        <f t="shared" si="58"/>
        <v>46639</v>
      </c>
      <c r="F120" s="55">
        <f t="shared" si="59"/>
        <v>805319</v>
      </c>
      <c r="G120" s="55">
        <f t="shared" si="60"/>
        <v>828638.5</v>
      </c>
      <c r="H120" s="356">
        <f t="shared" si="61"/>
        <v>157940.65417528147</v>
      </c>
      <c r="I120" s="381">
        <f t="shared" si="62"/>
        <v>157940.65417528147</v>
      </c>
      <c r="J120" s="54">
        <f t="shared" si="40"/>
        <v>0</v>
      </c>
      <c r="K120" s="54"/>
      <c r="L120" s="115"/>
      <c r="M120" s="54">
        <f t="shared" si="63"/>
        <v>0</v>
      </c>
      <c r="N120" s="115"/>
      <c r="O120" s="54">
        <f t="shared" si="41"/>
        <v>0</v>
      </c>
      <c r="P120" s="54">
        <f t="shared" si="42"/>
        <v>0</v>
      </c>
    </row>
    <row r="121" spans="2:16" ht="12.5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805319</v>
      </c>
      <c r="E121" s="354">
        <f t="shared" si="58"/>
        <v>46639</v>
      </c>
      <c r="F121" s="55">
        <f t="shared" si="59"/>
        <v>758680</v>
      </c>
      <c r="G121" s="55">
        <f t="shared" si="60"/>
        <v>781999.5</v>
      </c>
      <c r="H121" s="356">
        <f t="shared" si="61"/>
        <v>151676.16387090756</v>
      </c>
      <c r="I121" s="381">
        <f t="shared" si="62"/>
        <v>151676.16387090756</v>
      </c>
      <c r="J121" s="54">
        <f t="shared" si="40"/>
        <v>0</v>
      </c>
      <c r="K121" s="54"/>
      <c r="L121" s="115"/>
      <c r="M121" s="54">
        <f t="shared" si="63"/>
        <v>0</v>
      </c>
      <c r="N121" s="115"/>
      <c r="O121" s="54">
        <f t="shared" si="41"/>
        <v>0</v>
      </c>
      <c r="P121" s="54">
        <f t="shared" si="42"/>
        <v>0</v>
      </c>
    </row>
    <row r="122" spans="2:16" ht="12.5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758680</v>
      </c>
      <c r="E122" s="354">
        <f t="shared" si="58"/>
        <v>46639</v>
      </c>
      <c r="F122" s="55">
        <f t="shared" si="59"/>
        <v>712041</v>
      </c>
      <c r="G122" s="55">
        <f t="shared" si="60"/>
        <v>735360.5</v>
      </c>
      <c r="H122" s="356">
        <f t="shared" si="61"/>
        <v>145411.67356653363</v>
      </c>
      <c r="I122" s="381">
        <f t="shared" si="62"/>
        <v>145411.67356653363</v>
      </c>
      <c r="J122" s="54">
        <f t="shared" si="40"/>
        <v>0</v>
      </c>
      <c r="K122" s="54"/>
      <c r="L122" s="115"/>
      <c r="M122" s="54">
        <f t="shared" si="63"/>
        <v>0</v>
      </c>
      <c r="N122" s="115"/>
      <c r="O122" s="54">
        <f t="shared" si="41"/>
        <v>0</v>
      </c>
      <c r="P122" s="54">
        <f t="shared" si="42"/>
        <v>0</v>
      </c>
    </row>
    <row r="123" spans="2:16" ht="12.5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712041</v>
      </c>
      <c r="E123" s="354">
        <f t="shared" si="58"/>
        <v>46639</v>
      </c>
      <c r="F123" s="55">
        <f t="shared" si="59"/>
        <v>665402</v>
      </c>
      <c r="G123" s="55">
        <f t="shared" si="60"/>
        <v>688721.5</v>
      </c>
      <c r="H123" s="356">
        <f t="shared" si="61"/>
        <v>139147.1832621597</v>
      </c>
      <c r="I123" s="381">
        <f t="shared" si="62"/>
        <v>139147.1832621597</v>
      </c>
      <c r="J123" s="54">
        <f t="shared" si="40"/>
        <v>0</v>
      </c>
      <c r="K123" s="54"/>
      <c r="L123" s="115"/>
      <c r="M123" s="54">
        <f t="shared" si="63"/>
        <v>0</v>
      </c>
      <c r="N123" s="115"/>
      <c r="O123" s="54">
        <f t="shared" si="41"/>
        <v>0</v>
      </c>
      <c r="P123" s="54">
        <f t="shared" si="42"/>
        <v>0</v>
      </c>
    </row>
    <row r="124" spans="2:16" ht="12.5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665402</v>
      </c>
      <c r="E124" s="354">
        <f t="shared" si="58"/>
        <v>46639</v>
      </c>
      <c r="F124" s="55">
        <f t="shared" si="59"/>
        <v>618763</v>
      </c>
      <c r="G124" s="55">
        <f t="shared" si="60"/>
        <v>642082.5</v>
      </c>
      <c r="H124" s="356">
        <f t="shared" si="61"/>
        <v>132882.6929577858</v>
      </c>
      <c r="I124" s="381">
        <f t="shared" si="62"/>
        <v>132882.6929577858</v>
      </c>
      <c r="J124" s="54">
        <f t="shared" si="40"/>
        <v>0</v>
      </c>
      <c r="K124" s="54"/>
      <c r="L124" s="115"/>
      <c r="M124" s="54">
        <f t="shared" si="63"/>
        <v>0</v>
      </c>
      <c r="N124" s="115"/>
      <c r="O124" s="54">
        <f t="shared" si="41"/>
        <v>0</v>
      </c>
      <c r="P124" s="54">
        <f t="shared" si="42"/>
        <v>0</v>
      </c>
    </row>
    <row r="125" spans="2:16" ht="12.5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618763</v>
      </c>
      <c r="E125" s="354">
        <f t="shared" si="58"/>
        <v>46639</v>
      </c>
      <c r="F125" s="55">
        <f t="shared" si="59"/>
        <v>572124</v>
      </c>
      <c r="G125" s="55">
        <f t="shared" si="60"/>
        <v>595443.5</v>
      </c>
      <c r="H125" s="356">
        <f t="shared" si="61"/>
        <v>126618.20265341185</v>
      </c>
      <c r="I125" s="381">
        <f t="shared" si="62"/>
        <v>126618.20265341185</v>
      </c>
      <c r="J125" s="54">
        <f t="shared" si="40"/>
        <v>0</v>
      </c>
      <c r="K125" s="54"/>
      <c r="L125" s="115"/>
      <c r="M125" s="54">
        <f t="shared" si="63"/>
        <v>0</v>
      </c>
      <c r="N125" s="115"/>
      <c r="O125" s="54">
        <f t="shared" si="41"/>
        <v>0</v>
      </c>
      <c r="P125" s="54">
        <f t="shared" si="42"/>
        <v>0</v>
      </c>
    </row>
    <row r="126" spans="2:16" ht="12.5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572124</v>
      </c>
      <c r="E126" s="354">
        <f t="shared" si="58"/>
        <v>46639</v>
      </c>
      <c r="F126" s="55">
        <f t="shared" si="59"/>
        <v>525485</v>
      </c>
      <c r="G126" s="55">
        <f t="shared" si="60"/>
        <v>548804.5</v>
      </c>
      <c r="H126" s="356">
        <f t="shared" si="61"/>
        <v>120353.71234903793</v>
      </c>
      <c r="I126" s="381">
        <f t="shared" si="62"/>
        <v>120353.71234903793</v>
      </c>
      <c r="J126" s="54">
        <f t="shared" si="40"/>
        <v>0</v>
      </c>
      <c r="K126" s="54"/>
      <c r="L126" s="115"/>
      <c r="M126" s="54">
        <f t="shared" si="63"/>
        <v>0</v>
      </c>
      <c r="N126" s="115"/>
      <c r="O126" s="54">
        <f t="shared" si="41"/>
        <v>0</v>
      </c>
      <c r="P126" s="54">
        <f t="shared" si="42"/>
        <v>0</v>
      </c>
    </row>
    <row r="127" spans="2:16" ht="12.5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525485</v>
      </c>
      <c r="E127" s="354">
        <f t="shared" si="58"/>
        <v>46639</v>
      </c>
      <c r="F127" s="55">
        <f t="shared" si="59"/>
        <v>478846</v>
      </c>
      <c r="G127" s="55">
        <f t="shared" si="60"/>
        <v>502165.5</v>
      </c>
      <c r="H127" s="356">
        <f t="shared" si="61"/>
        <v>114089.222044664</v>
      </c>
      <c r="I127" s="381">
        <f t="shared" si="62"/>
        <v>114089.222044664</v>
      </c>
      <c r="J127" s="54">
        <f t="shared" si="40"/>
        <v>0</v>
      </c>
      <c r="K127" s="54"/>
      <c r="L127" s="115"/>
      <c r="M127" s="54">
        <f t="shared" si="63"/>
        <v>0</v>
      </c>
      <c r="N127" s="115"/>
      <c r="O127" s="54">
        <f t="shared" si="41"/>
        <v>0</v>
      </c>
      <c r="P127" s="54">
        <f t="shared" si="42"/>
        <v>0</v>
      </c>
    </row>
    <row r="128" spans="2:16" ht="12.5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478846</v>
      </c>
      <c r="E128" s="354">
        <f t="shared" si="58"/>
        <v>46639</v>
      </c>
      <c r="F128" s="55">
        <f t="shared" si="59"/>
        <v>432207</v>
      </c>
      <c r="G128" s="55">
        <f t="shared" si="60"/>
        <v>455526.5</v>
      </c>
      <c r="H128" s="356">
        <f t="shared" si="61"/>
        <v>107824.73174029008</v>
      </c>
      <c r="I128" s="381">
        <f t="shared" si="62"/>
        <v>107824.73174029008</v>
      </c>
      <c r="J128" s="54">
        <f t="shared" si="40"/>
        <v>0</v>
      </c>
      <c r="K128" s="54"/>
      <c r="L128" s="115"/>
      <c r="M128" s="54">
        <f t="shared" si="63"/>
        <v>0</v>
      </c>
      <c r="N128" s="115"/>
      <c r="O128" s="54">
        <f t="shared" si="41"/>
        <v>0</v>
      </c>
      <c r="P128" s="54">
        <f t="shared" si="42"/>
        <v>0</v>
      </c>
    </row>
    <row r="129" spans="2:16" ht="12.5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432207</v>
      </c>
      <c r="E129" s="354">
        <f t="shared" si="58"/>
        <v>46639</v>
      </c>
      <c r="F129" s="55">
        <f t="shared" si="59"/>
        <v>385568</v>
      </c>
      <c r="G129" s="55">
        <f t="shared" si="60"/>
        <v>408887.5</v>
      </c>
      <c r="H129" s="356">
        <f t="shared" si="61"/>
        <v>101560.24143591616</v>
      </c>
      <c r="I129" s="381">
        <f t="shared" si="62"/>
        <v>101560.24143591616</v>
      </c>
      <c r="J129" s="54">
        <f t="shared" si="40"/>
        <v>0</v>
      </c>
      <c r="K129" s="54"/>
      <c r="L129" s="115"/>
      <c r="M129" s="54">
        <f t="shared" si="63"/>
        <v>0</v>
      </c>
      <c r="N129" s="115"/>
      <c r="O129" s="54">
        <f t="shared" si="41"/>
        <v>0</v>
      </c>
      <c r="P129" s="54">
        <f t="shared" si="42"/>
        <v>0</v>
      </c>
    </row>
    <row r="130" spans="2:16" ht="12.5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385568</v>
      </c>
      <c r="E130" s="354">
        <f t="shared" si="58"/>
        <v>46639</v>
      </c>
      <c r="F130" s="55">
        <f t="shared" si="59"/>
        <v>338929</v>
      </c>
      <c r="G130" s="55">
        <f t="shared" si="60"/>
        <v>362248.5</v>
      </c>
      <c r="H130" s="356">
        <f t="shared" si="61"/>
        <v>95295.751131542231</v>
      </c>
      <c r="I130" s="381">
        <f t="shared" si="62"/>
        <v>95295.751131542231</v>
      </c>
      <c r="J130" s="54">
        <f t="shared" si="40"/>
        <v>0</v>
      </c>
      <c r="K130" s="54"/>
      <c r="L130" s="115"/>
      <c r="M130" s="54">
        <f t="shared" si="63"/>
        <v>0</v>
      </c>
      <c r="N130" s="115"/>
      <c r="O130" s="54">
        <f t="shared" si="41"/>
        <v>0</v>
      </c>
      <c r="P130" s="54">
        <f t="shared" si="42"/>
        <v>0</v>
      </c>
    </row>
    <row r="131" spans="2:16" ht="12.5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338929</v>
      </c>
      <c r="E131" s="354">
        <f t="shared" si="58"/>
        <v>46639</v>
      </c>
      <c r="F131" s="55">
        <f t="shared" si="59"/>
        <v>292290</v>
      </c>
      <c r="G131" s="55">
        <f t="shared" si="60"/>
        <v>315609.5</v>
      </c>
      <c r="H131" s="356">
        <f t="shared" si="61"/>
        <v>89031.260827168298</v>
      </c>
      <c r="I131" s="381">
        <f t="shared" si="62"/>
        <v>89031.260827168298</v>
      </c>
      <c r="J131" s="54">
        <f t="shared" si="40"/>
        <v>0</v>
      </c>
      <c r="K131" s="54"/>
      <c r="L131" s="115"/>
      <c r="M131" s="54">
        <f t="shared" ref="M131:M154" si="64">IF(L540&lt;&gt;0,+H540-L540,0)</f>
        <v>0</v>
      </c>
      <c r="N131" s="115"/>
      <c r="O131" s="54">
        <f t="shared" ref="O131:O154" si="65">IF(N540&lt;&gt;0,+I540-N540,0)</f>
        <v>0</v>
      </c>
      <c r="P131" s="54">
        <f t="shared" ref="P131:P154" si="66">+O540-M540</f>
        <v>0</v>
      </c>
    </row>
    <row r="132" spans="2:16" ht="12.5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292290</v>
      </c>
      <c r="E132" s="354">
        <f t="shared" si="58"/>
        <v>46639</v>
      </c>
      <c r="F132" s="55">
        <f t="shared" si="59"/>
        <v>245651</v>
      </c>
      <c r="G132" s="55">
        <f t="shared" si="60"/>
        <v>268970.5</v>
      </c>
      <c r="H132" s="356">
        <f t="shared" si="61"/>
        <v>82766.770522794366</v>
      </c>
      <c r="I132" s="381">
        <f t="shared" si="62"/>
        <v>82766.770522794366</v>
      </c>
      <c r="J132" s="54">
        <f t="shared" si="40"/>
        <v>0</v>
      </c>
      <c r="K132" s="54"/>
      <c r="L132" s="115"/>
      <c r="M132" s="54">
        <f t="shared" si="64"/>
        <v>0</v>
      </c>
      <c r="N132" s="115"/>
      <c r="O132" s="54">
        <f t="shared" si="65"/>
        <v>0</v>
      </c>
      <c r="P132" s="54">
        <f t="shared" si="66"/>
        <v>0</v>
      </c>
    </row>
    <row r="133" spans="2:16" ht="12.5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245651</v>
      </c>
      <c r="E133" s="354">
        <f t="shared" si="58"/>
        <v>46639</v>
      </c>
      <c r="F133" s="55">
        <f t="shared" si="59"/>
        <v>199012</v>
      </c>
      <c r="G133" s="55">
        <f t="shared" si="60"/>
        <v>222331.5</v>
      </c>
      <c r="H133" s="356">
        <f t="shared" si="61"/>
        <v>76502.280218420448</v>
      </c>
      <c r="I133" s="381">
        <f t="shared" si="62"/>
        <v>76502.280218420448</v>
      </c>
      <c r="J133" s="54">
        <f t="shared" si="40"/>
        <v>0</v>
      </c>
      <c r="K133" s="54"/>
      <c r="L133" s="115"/>
      <c r="M133" s="54">
        <f t="shared" si="64"/>
        <v>0</v>
      </c>
      <c r="N133" s="115"/>
      <c r="O133" s="54">
        <f t="shared" si="65"/>
        <v>0</v>
      </c>
      <c r="P133" s="54">
        <f t="shared" si="66"/>
        <v>0</v>
      </c>
    </row>
    <row r="134" spans="2:16" ht="12.5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199012</v>
      </c>
      <c r="E134" s="354">
        <f t="shared" si="58"/>
        <v>46639</v>
      </c>
      <c r="F134" s="55">
        <f t="shared" si="59"/>
        <v>152373</v>
      </c>
      <c r="G134" s="55">
        <f t="shared" si="60"/>
        <v>175692.5</v>
      </c>
      <c r="H134" s="356">
        <f t="shared" si="61"/>
        <v>70237.789914046531</v>
      </c>
      <c r="I134" s="381">
        <f t="shared" si="62"/>
        <v>70237.789914046531</v>
      </c>
      <c r="J134" s="54">
        <f t="shared" si="40"/>
        <v>0</v>
      </c>
      <c r="K134" s="54"/>
      <c r="L134" s="115"/>
      <c r="M134" s="54">
        <f t="shared" si="64"/>
        <v>0</v>
      </c>
      <c r="N134" s="115"/>
      <c r="O134" s="54">
        <f t="shared" si="65"/>
        <v>0</v>
      </c>
      <c r="P134" s="54">
        <f t="shared" si="66"/>
        <v>0</v>
      </c>
    </row>
    <row r="135" spans="2:16" ht="12.5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152373</v>
      </c>
      <c r="E135" s="354">
        <f t="shared" si="58"/>
        <v>46639</v>
      </c>
      <c r="F135" s="55">
        <f t="shared" si="59"/>
        <v>105734</v>
      </c>
      <c r="G135" s="55">
        <f t="shared" si="60"/>
        <v>129053.5</v>
      </c>
      <c r="H135" s="356">
        <f t="shared" si="61"/>
        <v>63973.299609672598</v>
      </c>
      <c r="I135" s="381">
        <f t="shared" si="62"/>
        <v>63973.299609672598</v>
      </c>
      <c r="J135" s="54">
        <f t="shared" si="40"/>
        <v>0</v>
      </c>
      <c r="K135" s="54"/>
      <c r="L135" s="115"/>
      <c r="M135" s="54">
        <f t="shared" si="64"/>
        <v>0</v>
      </c>
      <c r="N135" s="115"/>
      <c r="O135" s="54">
        <f t="shared" si="65"/>
        <v>0</v>
      </c>
      <c r="P135" s="54">
        <f t="shared" si="66"/>
        <v>0</v>
      </c>
    </row>
    <row r="136" spans="2:16" ht="12.5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105734</v>
      </c>
      <c r="E136" s="354">
        <f t="shared" si="58"/>
        <v>46639</v>
      </c>
      <c r="F136" s="55">
        <f t="shared" si="59"/>
        <v>59095</v>
      </c>
      <c r="G136" s="55">
        <f t="shared" si="60"/>
        <v>82414.5</v>
      </c>
      <c r="H136" s="356">
        <f t="shared" si="61"/>
        <v>57708.809305298673</v>
      </c>
      <c r="I136" s="381">
        <f t="shared" si="62"/>
        <v>57708.809305298673</v>
      </c>
      <c r="J136" s="54">
        <f t="shared" si="40"/>
        <v>0</v>
      </c>
      <c r="K136" s="54"/>
      <c r="L136" s="115"/>
      <c r="M136" s="54">
        <f t="shared" si="64"/>
        <v>0</v>
      </c>
      <c r="N136" s="115"/>
      <c r="O136" s="54">
        <f t="shared" si="65"/>
        <v>0</v>
      </c>
      <c r="P136" s="54">
        <f t="shared" si="66"/>
        <v>0</v>
      </c>
    </row>
    <row r="137" spans="2:16" ht="12.5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59095</v>
      </c>
      <c r="E137" s="354">
        <f t="shared" si="58"/>
        <v>46639</v>
      </c>
      <c r="F137" s="55">
        <f t="shared" si="59"/>
        <v>12456</v>
      </c>
      <c r="G137" s="55">
        <f t="shared" si="60"/>
        <v>35775.5</v>
      </c>
      <c r="H137" s="356">
        <f t="shared" si="61"/>
        <v>51444.319000924748</v>
      </c>
      <c r="I137" s="381">
        <f t="shared" si="62"/>
        <v>51444.319000924748</v>
      </c>
      <c r="J137" s="54">
        <f t="shared" si="40"/>
        <v>0</v>
      </c>
      <c r="K137" s="54"/>
      <c r="L137" s="115"/>
      <c r="M137" s="54">
        <f t="shared" si="64"/>
        <v>0</v>
      </c>
      <c r="N137" s="115"/>
      <c r="O137" s="54">
        <f t="shared" si="65"/>
        <v>0</v>
      </c>
      <c r="P137" s="54">
        <f t="shared" si="66"/>
        <v>0</v>
      </c>
    </row>
    <row r="138" spans="2:16" ht="12.5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12456</v>
      </c>
      <c r="E138" s="354">
        <f t="shared" si="58"/>
        <v>12456</v>
      </c>
      <c r="F138" s="55">
        <f t="shared" si="59"/>
        <v>0</v>
      </c>
      <c r="G138" s="55">
        <f t="shared" si="60"/>
        <v>6228</v>
      </c>
      <c r="H138" s="356">
        <f t="shared" si="61"/>
        <v>13292.536924368893</v>
      </c>
      <c r="I138" s="381">
        <f t="shared" si="62"/>
        <v>13292.536924368893</v>
      </c>
      <c r="J138" s="54">
        <f t="shared" si="40"/>
        <v>0</v>
      </c>
      <c r="K138" s="54"/>
      <c r="L138" s="115"/>
      <c r="M138" s="54">
        <f t="shared" si="64"/>
        <v>0</v>
      </c>
      <c r="N138" s="115"/>
      <c r="O138" s="54">
        <f t="shared" si="65"/>
        <v>0</v>
      </c>
      <c r="P138" s="54">
        <f t="shared" si="66"/>
        <v>0</v>
      </c>
    </row>
    <row r="139" spans="2:16" ht="12.5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8"/>
        <v>0</v>
      </c>
      <c r="F139" s="55">
        <f t="shared" si="59"/>
        <v>0</v>
      </c>
      <c r="G139" s="55">
        <f t="shared" si="60"/>
        <v>0</v>
      </c>
      <c r="H139" s="356">
        <f t="shared" si="61"/>
        <v>0</v>
      </c>
      <c r="I139" s="381">
        <f t="shared" si="62"/>
        <v>0</v>
      </c>
      <c r="J139" s="54">
        <f t="shared" si="40"/>
        <v>0</v>
      </c>
      <c r="K139" s="54"/>
      <c r="L139" s="115"/>
      <c r="M139" s="54">
        <f t="shared" si="64"/>
        <v>0</v>
      </c>
      <c r="N139" s="115"/>
      <c r="O139" s="54">
        <f t="shared" si="65"/>
        <v>0</v>
      </c>
      <c r="P139" s="54">
        <f t="shared" si="66"/>
        <v>0</v>
      </c>
    </row>
    <row r="140" spans="2:16" ht="12.5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8"/>
        <v>0</v>
      </c>
      <c r="F140" s="55">
        <f t="shared" si="59"/>
        <v>0</v>
      </c>
      <c r="G140" s="55">
        <f t="shared" si="60"/>
        <v>0</v>
      </c>
      <c r="H140" s="356">
        <f t="shared" si="61"/>
        <v>0</v>
      </c>
      <c r="I140" s="381">
        <f t="shared" si="62"/>
        <v>0</v>
      </c>
      <c r="J140" s="54">
        <f t="shared" si="40"/>
        <v>0</v>
      </c>
      <c r="K140" s="54"/>
      <c r="L140" s="115"/>
      <c r="M140" s="54">
        <f t="shared" si="64"/>
        <v>0</v>
      </c>
      <c r="N140" s="115"/>
      <c r="O140" s="54">
        <f t="shared" si="65"/>
        <v>0</v>
      </c>
      <c r="P140" s="54">
        <f t="shared" si="66"/>
        <v>0</v>
      </c>
    </row>
    <row r="141" spans="2:16" ht="12.5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8"/>
        <v>0</v>
      </c>
      <c r="F141" s="55">
        <f t="shared" si="59"/>
        <v>0</v>
      </c>
      <c r="G141" s="55">
        <f t="shared" si="60"/>
        <v>0</v>
      </c>
      <c r="H141" s="356">
        <f t="shared" si="61"/>
        <v>0</v>
      </c>
      <c r="I141" s="381">
        <f t="shared" si="62"/>
        <v>0</v>
      </c>
      <c r="J141" s="54">
        <f t="shared" si="40"/>
        <v>0</v>
      </c>
      <c r="K141" s="54"/>
      <c r="L141" s="115"/>
      <c r="M141" s="54">
        <f t="shared" si="64"/>
        <v>0</v>
      </c>
      <c r="N141" s="115"/>
      <c r="O141" s="54">
        <f t="shared" si="65"/>
        <v>0</v>
      </c>
      <c r="P141" s="54">
        <f t="shared" si="66"/>
        <v>0</v>
      </c>
    </row>
    <row r="142" spans="2:16" ht="12.5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8"/>
        <v>0</v>
      </c>
      <c r="F142" s="55">
        <f t="shared" si="59"/>
        <v>0</v>
      </c>
      <c r="G142" s="55">
        <f t="shared" si="60"/>
        <v>0</v>
      </c>
      <c r="H142" s="356">
        <f t="shared" si="61"/>
        <v>0</v>
      </c>
      <c r="I142" s="381">
        <f t="shared" si="62"/>
        <v>0</v>
      </c>
      <c r="J142" s="54">
        <f t="shared" si="40"/>
        <v>0</v>
      </c>
      <c r="K142" s="54"/>
      <c r="L142" s="115"/>
      <c r="M142" s="54">
        <f t="shared" si="64"/>
        <v>0</v>
      </c>
      <c r="N142" s="115"/>
      <c r="O142" s="54">
        <f t="shared" si="65"/>
        <v>0</v>
      </c>
      <c r="P142" s="54">
        <f t="shared" si="66"/>
        <v>0</v>
      </c>
    </row>
    <row r="143" spans="2:16" ht="12.5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8"/>
        <v>0</v>
      </c>
      <c r="F143" s="55">
        <f t="shared" si="59"/>
        <v>0</v>
      </c>
      <c r="G143" s="55">
        <f t="shared" si="60"/>
        <v>0</v>
      </c>
      <c r="H143" s="356">
        <f t="shared" si="61"/>
        <v>0</v>
      </c>
      <c r="I143" s="381">
        <f t="shared" si="62"/>
        <v>0</v>
      </c>
      <c r="J143" s="54">
        <f t="shared" si="40"/>
        <v>0</v>
      </c>
      <c r="K143" s="54"/>
      <c r="L143" s="115"/>
      <c r="M143" s="54">
        <f t="shared" si="64"/>
        <v>0</v>
      </c>
      <c r="N143" s="115"/>
      <c r="O143" s="54">
        <f t="shared" si="65"/>
        <v>0</v>
      </c>
      <c r="P143" s="54">
        <f t="shared" si="66"/>
        <v>0</v>
      </c>
    </row>
    <row r="144" spans="2:16" ht="12.5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8"/>
        <v>0</v>
      </c>
      <c r="F144" s="55">
        <f t="shared" si="59"/>
        <v>0</v>
      </c>
      <c r="G144" s="55">
        <f t="shared" si="60"/>
        <v>0</v>
      </c>
      <c r="H144" s="356">
        <f t="shared" si="61"/>
        <v>0</v>
      </c>
      <c r="I144" s="381">
        <f t="shared" si="62"/>
        <v>0</v>
      </c>
      <c r="J144" s="54">
        <f t="shared" si="40"/>
        <v>0</v>
      </c>
      <c r="K144" s="54"/>
      <c r="L144" s="115"/>
      <c r="M144" s="54">
        <f t="shared" si="64"/>
        <v>0</v>
      </c>
      <c r="N144" s="115"/>
      <c r="O144" s="54">
        <f t="shared" si="65"/>
        <v>0</v>
      </c>
      <c r="P144" s="54">
        <f t="shared" si="66"/>
        <v>0</v>
      </c>
    </row>
    <row r="145" spans="2:16" ht="12.5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8"/>
        <v>0</v>
      </c>
      <c r="F145" s="55">
        <f t="shared" si="59"/>
        <v>0</v>
      </c>
      <c r="G145" s="55">
        <f t="shared" si="60"/>
        <v>0</v>
      </c>
      <c r="H145" s="356">
        <f t="shared" si="61"/>
        <v>0</v>
      </c>
      <c r="I145" s="381">
        <f t="shared" si="62"/>
        <v>0</v>
      </c>
      <c r="J145" s="54">
        <f t="shared" si="40"/>
        <v>0</v>
      </c>
      <c r="K145" s="54"/>
      <c r="L145" s="115"/>
      <c r="M145" s="54">
        <f t="shared" si="64"/>
        <v>0</v>
      </c>
      <c r="N145" s="115"/>
      <c r="O145" s="54">
        <f t="shared" si="65"/>
        <v>0</v>
      </c>
      <c r="P145" s="54">
        <f t="shared" si="66"/>
        <v>0</v>
      </c>
    </row>
    <row r="146" spans="2:16" ht="12.5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8"/>
        <v>0</v>
      </c>
      <c r="F146" s="55">
        <f t="shared" si="59"/>
        <v>0</v>
      </c>
      <c r="G146" s="55">
        <f t="shared" si="60"/>
        <v>0</v>
      </c>
      <c r="H146" s="356">
        <f t="shared" si="61"/>
        <v>0</v>
      </c>
      <c r="I146" s="381">
        <f t="shared" si="62"/>
        <v>0</v>
      </c>
      <c r="J146" s="54">
        <f t="shared" si="40"/>
        <v>0</v>
      </c>
      <c r="K146" s="54"/>
      <c r="L146" s="115"/>
      <c r="M146" s="54">
        <f t="shared" si="64"/>
        <v>0</v>
      </c>
      <c r="N146" s="115"/>
      <c r="O146" s="54">
        <f t="shared" si="65"/>
        <v>0</v>
      </c>
      <c r="P146" s="54">
        <f t="shared" si="66"/>
        <v>0</v>
      </c>
    </row>
    <row r="147" spans="2:16" ht="12.5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8"/>
        <v>0</v>
      </c>
      <c r="F147" s="55">
        <f t="shared" si="59"/>
        <v>0</v>
      </c>
      <c r="G147" s="55">
        <f t="shared" si="60"/>
        <v>0</v>
      </c>
      <c r="H147" s="356">
        <f t="shared" si="61"/>
        <v>0</v>
      </c>
      <c r="I147" s="381">
        <f t="shared" si="62"/>
        <v>0</v>
      </c>
      <c r="J147" s="54">
        <f t="shared" si="40"/>
        <v>0</v>
      </c>
      <c r="K147" s="54"/>
      <c r="L147" s="115"/>
      <c r="M147" s="54">
        <f t="shared" si="64"/>
        <v>0</v>
      </c>
      <c r="N147" s="115"/>
      <c r="O147" s="54">
        <f t="shared" si="65"/>
        <v>0</v>
      </c>
      <c r="P147" s="54">
        <f t="shared" si="66"/>
        <v>0</v>
      </c>
    </row>
    <row r="148" spans="2:16" ht="12.5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8"/>
        <v>0</v>
      </c>
      <c r="F148" s="55">
        <f t="shared" si="59"/>
        <v>0</v>
      </c>
      <c r="G148" s="55">
        <f t="shared" si="60"/>
        <v>0</v>
      </c>
      <c r="H148" s="356">
        <f t="shared" si="61"/>
        <v>0</v>
      </c>
      <c r="I148" s="381">
        <f t="shared" si="62"/>
        <v>0</v>
      </c>
      <c r="J148" s="54">
        <f t="shared" si="40"/>
        <v>0</v>
      </c>
      <c r="K148" s="54"/>
      <c r="L148" s="115"/>
      <c r="M148" s="54">
        <f t="shared" si="64"/>
        <v>0</v>
      </c>
      <c r="N148" s="115"/>
      <c r="O148" s="54">
        <f t="shared" si="65"/>
        <v>0</v>
      </c>
      <c r="P148" s="54">
        <f t="shared" si="66"/>
        <v>0</v>
      </c>
    </row>
    <row r="149" spans="2:16" ht="12.5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8"/>
        <v>0</v>
      </c>
      <c r="F149" s="55">
        <f t="shared" si="59"/>
        <v>0</v>
      </c>
      <c r="G149" s="55">
        <f t="shared" si="60"/>
        <v>0</v>
      </c>
      <c r="H149" s="356">
        <f t="shared" si="61"/>
        <v>0</v>
      </c>
      <c r="I149" s="381">
        <f t="shared" si="62"/>
        <v>0</v>
      </c>
      <c r="J149" s="54">
        <f t="shared" si="40"/>
        <v>0</v>
      </c>
      <c r="K149" s="54"/>
      <c r="L149" s="115"/>
      <c r="M149" s="54">
        <f t="shared" si="64"/>
        <v>0</v>
      </c>
      <c r="N149" s="115"/>
      <c r="O149" s="54">
        <f t="shared" si="65"/>
        <v>0</v>
      </c>
      <c r="P149" s="54">
        <f t="shared" si="66"/>
        <v>0</v>
      </c>
    </row>
    <row r="150" spans="2:16" ht="12.5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8"/>
        <v>0</v>
      </c>
      <c r="F150" s="55">
        <f t="shared" si="59"/>
        <v>0</v>
      </c>
      <c r="G150" s="55">
        <f t="shared" si="60"/>
        <v>0</v>
      </c>
      <c r="H150" s="356">
        <f t="shared" si="61"/>
        <v>0</v>
      </c>
      <c r="I150" s="381">
        <f t="shared" si="62"/>
        <v>0</v>
      </c>
      <c r="J150" s="54">
        <f t="shared" si="40"/>
        <v>0</v>
      </c>
      <c r="K150" s="54"/>
      <c r="L150" s="115"/>
      <c r="M150" s="54">
        <f t="shared" si="64"/>
        <v>0</v>
      </c>
      <c r="N150" s="115"/>
      <c r="O150" s="54">
        <f t="shared" si="65"/>
        <v>0</v>
      </c>
      <c r="P150" s="54">
        <f t="shared" si="66"/>
        <v>0</v>
      </c>
    </row>
    <row r="151" spans="2:16" ht="12.5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8"/>
        <v>0</v>
      </c>
      <c r="F151" s="55">
        <f t="shared" si="59"/>
        <v>0</v>
      </c>
      <c r="G151" s="55">
        <f t="shared" si="60"/>
        <v>0</v>
      </c>
      <c r="H151" s="356">
        <f t="shared" si="61"/>
        <v>0</v>
      </c>
      <c r="I151" s="381">
        <f t="shared" si="62"/>
        <v>0</v>
      </c>
      <c r="J151" s="54">
        <f t="shared" si="40"/>
        <v>0</v>
      </c>
      <c r="K151" s="54"/>
      <c r="L151" s="115"/>
      <c r="M151" s="54">
        <f t="shared" si="64"/>
        <v>0</v>
      </c>
      <c r="N151" s="115"/>
      <c r="O151" s="54">
        <f t="shared" si="65"/>
        <v>0</v>
      </c>
      <c r="P151" s="54">
        <f t="shared" si="66"/>
        <v>0</v>
      </c>
    </row>
    <row r="152" spans="2:16" ht="12.5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8"/>
        <v>0</v>
      </c>
      <c r="F152" s="55">
        <f t="shared" si="59"/>
        <v>0</v>
      </c>
      <c r="G152" s="55">
        <f t="shared" si="60"/>
        <v>0</v>
      </c>
      <c r="H152" s="356">
        <f t="shared" si="61"/>
        <v>0</v>
      </c>
      <c r="I152" s="381">
        <f t="shared" si="62"/>
        <v>0</v>
      </c>
      <c r="J152" s="54">
        <f t="shared" si="40"/>
        <v>0</v>
      </c>
      <c r="K152" s="54"/>
      <c r="L152" s="115"/>
      <c r="M152" s="54">
        <f t="shared" si="64"/>
        <v>0</v>
      </c>
      <c r="N152" s="115"/>
      <c r="O152" s="54">
        <f t="shared" si="65"/>
        <v>0</v>
      </c>
      <c r="P152" s="54">
        <f t="shared" si="66"/>
        <v>0</v>
      </c>
    </row>
    <row r="153" spans="2:16" ht="12.5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8"/>
        <v>0</v>
      </c>
      <c r="F153" s="55">
        <f t="shared" si="59"/>
        <v>0</v>
      </c>
      <c r="G153" s="55">
        <f t="shared" si="60"/>
        <v>0</v>
      </c>
      <c r="H153" s="356">
        <f t="shared" si="61"/>
        <v>0</v>
      </c>
      <c r="I153" s="381">
        <f t="shared" si="62"/>
        <v>0</v>
      </c>
      <c r="J153" s="54">
        <f t="shared" si="40"/>
        <v>0</v>
      </c>
      <c r="K153" s="54"/>
      <c r="L153" s="115"/>
      <c r="M153" s="54">
        <f t="shared" si="64"/>
        <v>0</v>
      </c>
      <c r="N153" s="115"/>
      <c r="O153" s="54">
        <f t="shared" si="65"/>
        <v>0</v>
      </c>
      <c r="P153" s="54">
        <f t="shared" si="66"/>
        <v>0</v>
      </c>
    </row>
    <row r="154" spans="2:16" ht="13" thickBot="1">
      <c r="B154" s="7" t="str">
        <f t="shared" si="39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58"/>
        <v>0</v>
      </c>
      <c r="F154" s="59">
        <f t="shared" si="59"/>
        <v>0</v>
      </c>
      <c r="G154" s="59">
        <f t="shared" si="60"/>
        <v>0</v>
      </c>
      <c r="H154" s="358">
        <f t="shared" si="61"/>
        <v>0</v>
      </c>
      <c r="I154" s="383">
        <f t="shared" si="62"/>
        <v>0</v>
      </c>
      <c r="J154" s="62">
        <f t="shared" si="40"/>
        <v>0</v>
      </c>
      <c r="K154" s="54"/>
      <c r="L154" s="116"/>
      <c r="M154" s="62">
        <f t="shared" si="64"/>
        <v>0</v>
      </c>
      <c r="N154" s="116"/>
      <c r="O154" s="62">
        <f t="shared" si="65"/>
        <v>0</v>
      </c>
      <c r="P154" s="62">
        <f t="shared" si="66"/>
        <v>0</v>
      </c>
    </row>
    <row r="155" spans="2:16" ht="12.5">
      <c r="C155" s="12" t="s">
        <v>77</v>
      </c>
      <c r="D155" s="267"/>
      <c r="E155" s="267">
        <f>SUM(E99:E154)</f>
        <v>1725647</v>
      </c>
      <c r="F155" s="267"/>
      <c r="G155" s="267"/>
      <c r="H155" s="267">
        <f>SUM(H99:H154)</f>
        <v>6043252.8469611797</v>
      </c>
      <c r="I155" s="267">
        <f>SUM(I99:I154)</f>
        <v>6043252.8469611797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V162"/>
  <sheetViews>
    <sheetView topLeftCell="A56" zoomScaleNormal="100" zoomScaleSheetLayoutView="78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19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156935.19299331732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156935.19299331732</v>
      </c>
      <c r="O6" s="1"/>
      <c r="P6" s="1"/>
    </row>
    <row r="7" spans="1:16" ht="13.5" thickBot="1">
      <c r="C7" s="26" t="s">
        <v>46</v>
      </c>
      <c r="D7" s="88" t="s">
        <v>281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295</v>
      </c>
      <c r="E9" s="404" t="s">
        <v>296</v>
      </c>
      <c r="F9" s="32"/>
      <c r="G9" s="452" t="s">
        <v>405</v>
      </c>
      <c r="H9" s="32"/>
      <c r="I9" s="33"/>
      <c r="J9" s="34"/>
      <c r="P9" s="1"/>
    </row>
    <row r="10" spans="1:16" ht="13">
      <c r="C10" s="128" t="s">
        <v>226</v>
      </c>
      <c r="D10" s="336">
        <v>1338977.9100000004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3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35236.260789473694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2017</v>
      </c>
      <c r="D17" s="411">
        <v>0</v>
      </c>
      <c r="E17" s="433">
        <v>21831.16304347826</v>
      </c>
      <c r="F17" s="411">
        <v>1317146.8369565217</v>
      </c>
      <c r="G17" s="433">
        <v>105641.6474528401</v>
      </c>
      <c r="H17" s="414">
        <v>105641.6474528401</v>
      </c>
      <c r="I17" s="52">
        <f t="shared" ref="I17:I72" si="0">H17-G17</f>
        <v>0</v>
      </c>
      <c r="J17" s="52"/>
      <c r="K17" s="53">
        <f t="shared" ref="K17:K22" si="1">+G17</f>
        <v>105641.6474528401</v>
      </c>
      <c r="L17" s="53">
        <f t="shared" ref="L17:L72" si="2">IF(K17&lt;&gt;0,+G17-K17,0)</f>
        <v>0</v>
      </c>
      <c r="M17" s="53">
        <f t="shared" ref="M17:M22" si="3">+H17</f>
        <v>105641.6474528401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1317146.8369565217</v>
      </c>
      <c r="E18" s="412">
        <v>29755.066666666666</v>
      </c>
      <c r="F18" s="411">
        <v>1287391.7702898551</v>
      </c>
      <c r="G18" s="412">
        <v>185713.45898482588</v>
      </c>
      <c r="H18" s="414">
        <v>185713.45898482588</v>
      </c>
      <c r="I18" s="52">
        <f t="shared" si="0"/>
        <v>0</v>
      </c>
      <c r="J18" s="52"/>
      <c r="K18" s="54">
        <f t="shared" si="1"/>
        <v>185713.45898482588</v>
      </c>
      <c r="L18" s="54">
        <f t="shared" si="2"/>
        <v>0</v>
      </c>
      <c r="M18" s="54">
        <f t="shared" si="3"/>
        <v>185713.45898482588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11">
        <v>1287391.7702898551</v>
      </c>
      <c r="E19" s="412">
        <v>33474.449999999997</v>
      </c>
      <c r="F19" s="411">
        <v>1253917.3202898551</v>
      </c>
      <c r="G19" s="412">
        <v>175351.45606998727</v>
      </c>
      <c r="H19" s="414">
        <v>175351.45606998727</v>
      </c>
      <c r="I19" s="52">
        <f t="shared" si="0"/>
        <v>0</v>
      </c>
      <c r="J19" s="52"/>
      <c r="K19" s="54">
        <f t="shared" si="1"/>
        <v>175351.45606998727</v>
      </c>
      <c r="L19" s="54">
        <f t="shared" ref="L19" si="6">IF(K19&lt;&gt;0,+G19-K19,0)</f>
        <v>0</v>
      </c>
      <c r="M19" s="54">
        <f t="shared" si="3"/>
        <v>175351.45606998727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1257636.7036231884</v>
      </c>
      <c r="E20" s="412">
        <v>31880.428571428572</v>
      </c>
      <c r="F20" s="411">
        <v>1225756.2750517598</v>
      </c>
      <c r="G20" s="412">
        <v>165989.58089219453</v>
      </c>
      <c r="H20" s="414">
        <v>165989.58089219453</v>
      </c>
      <c r="I20" s="52">
        <f t="shared" si="0"/>
        <v>0</v>
      </c>
      <c r="J20" s="52"/>
      <c r="K20" s="54">
        <f t="shared" si="1"/>
        <v>165989.58089219453</v>
      </c>
      <c r="L20" s="54">
        <f t="shared" ref="L20" si="8">IF(K20&lt;&gt;0,+G20-K20,0)</f>
        <v>0</v>
      </c>
      <c r="M20" s="54">
        <f t="shared" si="3"/>
        <v>165989.58089219453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1222036.8917184265</v>
      </c>
      <c r="E21" s="412">
        <v>31139.023255813954</v>
      </c>
      <c r="F21" s="411">
        <v>1190897.8684626126</v>
      </c>
      <c r="G21" s="412">
        <v>161222.32913848371</v>
      </c>
      <c r="H21" s="414">
        <v>161222.32913848371</v>
      </c>
      <c r="I21" s="52">
        <f t="shared" si="0"/>
        <v>0</v>
      </c>
      <c r="J21" s="52"/>
      <c r="K21" s="54">
        <f t="shared" si="1"/>
        <v>161222.32913848371</v>
      </c>
      <c r="L21" s="54">
        <f t="shared" ref="L21" si="9">IF(K21&lt;&gt;0,+G21-K21,0)</f>
        <v>0</v>
      </c>
      <c r="M21" s="54">
        <f t="shared" si="3"/>
        <v>161222.32913848371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1190897.8684626126</v>
      </c>
      <c r="E22" s="412">
        <v>31880.428571428572</v>
      </c>
      <c r="F22" s="411">
        <v>1159017.439891184</v>
      </c>
      <c r="G22" s="412">
        <v>158554.07703900614</v>
      </c>
      <c r="H22" s="414">
        <v>158554.07703900614</v>
      </c>
      <c r="I22" s="52">
        <f t="shared" si="0"/>
        <v>0</v>
      </c>
      <c r="J22" s="52"/>
      <c r="K22" s="54">
        <f t="shared" si="1"/>
        <v>158554.07703900614</v>
      </c>
      <c r="L22" s="54">
        <f t="shared" ref="L22" si="10">IF(K22&lt;&gt;0,+G22-K22,0)</f>
        <v>0</v>
      </c>
      <c r="M22" s="54">
        <f t="shared" si="3"/>
        <v>158554.07703900614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1159017.3498911844</v>
      </c>
      <c r="E23" s="412">
        <v>34332.766923076932</v>
      </c>
      <c r="F23" s="411">
        <v>1124684.5829681074</v>
      </c>
      <c r="G23" s="412">
        <v>170622.90008256794</v>
      </c>
      <c r="H23" s="414">
        <v>170622.90008256794</v>
      </c>
      <c r="I23" s="52">
        <f t="shared" si="0"/>
        <v>0</v>
      </c>
      <c r="J23" s="52"/>
      <c r="K23" s="54">
        <f t="shared" ref="K23" si="11">+G23</f>
        <v>170622.90008256794</v>
      </c>
      <c r="L23" s="54">
        <f t="shared" ref="L23" si="12">IF(K23&lt;&gt;0,+G23-K23,0)</f>
        <v>0</v>
      </c>
      <c r="M23" s="54">
        <f t="shared" ref="M23" si="13">+H23</f>
        <v>170622.90008256794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50">
        <f>IF(D11="","-",+C23+1)</f>
        <v>2024</v>
      </c>
      <c r="D24" s="411">
        <v>1124684.5829681074</v>
      </c>
      <c r="E24" s="412">
        <v>35236.260789473694</v>
      </c>
      <c r="F24" s="411">
        <v>1089448.3221786337</v>
      </c>
      <c r="G24" s="412">
        <v>161154.20676823906</v>
      </c>
      <c r="H24" s="414">
        <v>161154.20676823906</v>
      </c>
      <c r="I24" s="52">
        <f t="shared" si="0"/>
        <v>0</v>
      </c>
      <c r="J24" s="52"/>
      <c r="K24" s="54">
        <f t="shared" ref="K24" si="16">+G24</f>
        <v>161154.20676823906</v>
      </c>
      <c r="L24" s="54">
        <f t="shared" ref="L24" si="17">IF(K24&lt;&gt;0,+G24-K24,0)</f>
        <v>0</v>
      </c>
      <c r="M24" s="54">
        <f t="shared" ref="M24" si="18">+H24</f>
        <v>161154.20676823906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49">
        <f>IF(D11="","-",+C24+1)</f>
        <v>2025</v>
      </c>
      <c r="D25" s="411">
        <v>1089448.3221786337</v>
      </c>
      <c r="E25" s="412">
        <v>35236.260789473694</v>
      </c>
      <c r="F25" s="411">
        <v>1054212.0613891599</v>
      </c>
      <c r="G25" s="412">
        <v>157003.1312434093</v>
      </c>
      <c r="H25" s="414">
        <v>157003.1312434093</v>
      </c>
      <c r="I25" s="52">
        <f t="shared" si="0"/>
        <v>0</v>
      </c>
      <c r="J25" s="52"/>
      <c r="K25" s="54">
        <f t="shared" ref="K25" si="21">+G25</f>
        <v>157003.1312434093</v>
      </c>
      <c r="L25" s="54">
        <f t="shared" ref="L25" si="22">IF(K25&lt;&gt;0,+G25-K25,0)</f>
        <v>0</v>
      </c>
      <c r="M25" s="54">
        <f t="shared" ref="M25" si="23">+H25</f>
        <v>157003.1312434093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1054212.0613891599</v>
      </c>
      <c r="E26" s="354">
        <f t="shared" ref="E26:E72" si="26">IF(+I$14&lt;F25,I$14,D26)</f>
        <v>35236.260789473694</v>
      </c>
      <c r="F26" s="55">
        <f t="shared" ref="F26:F72" si="27">+D26-E26</f>
        <v>1018975.8005996862</v>
      </c>
      <c r="G26" s="355">
        <f t="shared" ref="G26:G72" si="28">(D26+F26)/2*I$12+E26</f>
        <v>156935.19299331732</v>
      </c>
      <c r="H26" s="337">
        <f t="shared" ref="H26:H72" si="29">+(D26+F26)/2*I$13+E26</f>
        <v>156935.19299331732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1018975.8005996862</v>
      </c>
      <c r="E27" s="354">
        <f t="shared" si="26"/>
        <v>35236.260789473694</v>
      </c>
      <c r="F27" s="55">
        <f t="shared" si="27"/>
        <v>983739.53981021256</v>
      </c>
      <c r="G27" s="355">
        <f t="shared" si="28"/>
        <v>152798.36063812365</v>
      </c>
      <c r="H27" s="337">
        <f t="shared" si="29"/>
        <v>152798.36063812365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983739.53981021256</v>
      </c>
      <c r="E28" s="354">
        <f t="shared" si="26"/>
        <v>35236.260789473694</v>
      </c>
      <c r="F28" s="55">
        <f t="shared" si="27"/>
        <v>948503.2790207389</v>
      </c>
      <c r="G28" s="355">
        <f t="shared" si="28"/>
        <v>148661.52828293003</v>
      </c>
      <c r="H28" s="337">
        <f t="shared" si="29"/>
        <v>148661.52828293003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948503.2790207389</v>
      </c>
      <c r="E29" s="354">
        <f t="shared" si="26"/>
        <v>35236.260789473694</v>
      </c>
      <c r="F29" s="55">
        <f t="shared" si="27"/>
        <v>913267.01823126525</v>
      </c>
      <c r="G29" s="355">
        <f t="shared" si="28"/>
        <v>144524.69592773635</v>
      </c>
      <c r="H29" s="337">
        <f t="shared" si="29"/>
        <v>144524.69592773635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913267.01823126525</v>
      </c>
      <c r="E30" s="354">
        <f t="shared" si="26"/>
        <v>35236.260789473694</v>
      </c>
      <c r="F30" s="55">
        <f t="shared" si="27"/>
        <v>878030.75744179159</v>
      </c>
      <c r="G30" s="355">
        <f t="shared" si="28"/>
        <v>140387.8635725427</v>
      </c>
      <c r="H30" s="337">
        <f t="shared" si="29"/>
        <v>140387.8635725427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878030.75744179159</v>
      </c>
      <c r="E31" s="354">
        <f t="shared" si="26"/>
        <v>35236.260789473694</v>
      </c>
      <c r="F31" s="55">
        <f t="shared" si="27"/>
        <v>842794.49665231793</v>
      </c>
      <c r="G31" s="355">
        <f t="shared" si="28"/>
        <v>136251.03121734902</v>
      </c>
      <c r="H31" s="337">
        <f t="shared" si="29"/>
        <v>136251.03121734902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842794.49665231793</v>
      </c>
      <c r="E32" s="354">
        <f t="shared" si="26"/>
        <v>35236.260789473694</v>
      </c>
      <c r="F32" s="55">
        <f t="shared" si="27"/>
        <v>807558.23586284427</v>
      </c>
      <c r="G32" s="355">
        <f t="shared" si="28"/>
        <v>132114.1988621554</v>
      </c>
      <c r="H32" s="337">
        <f t="shared" si="29"/>
        <v>132114.1988621554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807558.23586284427</v>
      </c>
      <c r="E33" s="354">
        <f t="shared" si="26"/>
        <v>35236.260789473694</v>
      </c>
      <c r="F33" s="55">
        <f t="shared" si="27"/>
        <v>772321.97507337062</v>
      </c>
      <c r="G33" s="355">
        <f t="shared" si="28"/>
        <v>127977.36650696173</v>
      </c>
      <c r="H33" s="337">
        <f t="shared" si="29"/>
        <v>127977.36650696173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772321.97507337062</v>
      </c>
      <c r="E34" s="354">
        <f t="shared" si="26"/>
        <v>35236.260789473694</v>
      </c>
      <c r="F34" s="55">
        <f t="shared" si="27"/>
        <v>737085.71428389696</v>
      </c>
      <c r="G34" s="355">
        <f t="shared" si="28"/>
        <v>123840.53415176808</v>
      </c>
      <c r="H34" s="337">
        <f t="shared" si="29"/>
        <v>123840.53415176808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737085.71428389696</v>
      </c>
      <c r="E35" s="354">
        <f t="shared" si="26"/>
        <v>35236.260789473694</v>
      </c>
      <c r="F35" s="55">
        <f t="shared" si="27"/>
        <v>701849.4534944233</v>
      </c>
      <c r="G35" s="355">
        <f t="shared" si="28"/>
        <v>119703.70179657443</v>
      </c>
      <c r="H35" s="337">
        <f t="shared" si="29"/>
        <v>119703.70179657443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701849.4534944233</v>
      </c>
      <c r="E36" s="354">
        <f t="shared" si="26"/>
        <v>35236.260789473694</v>
      </c>
      <c r="F36" s="55">
        <f t="shared" si="27"/>
        <v>666613.19270494964</v>
      </c>
      <c r="G36" s="355">
        <f t="shared" si="28"/>
        <v>115566.86944138078</v>
      </c>
      <c r="H36" s="337">
        <f t="shared" si="29"/>
        <v>115566.86944138078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666613.19270494964</v>
      </c>
      <c r="E37" s="354">
        <f t="shared" si="26"/>
        <v>35236.260789473694</v>
      </c>
      <c r="F37" s="55">
        <f t="shared" si="27"/>
        <v>631376.93191547599</v>
      </c>
      <c r="G37" s="355">
        <f t="shared" si="28"/>
        <v>111430.03708618711</v>
      </c>
      <c r="H37" s="337">
        <f t="shared" si="29"/>
        <v>111430.03708618711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631376.93191547599</v>
      </c>
      <c r="E38" s="354">
        <f t="shared" si="26"/>
        <v>35236.260789473694</v>
      </c>
      <c r="F38" s="55">
        <f t="shared" si="27"/>
        <v>596140.67112600233</v>
      </c>
      <c r="G38" s="355">
        <f t="shared" si="28"/>
        <v>107293.20473099346</v>
      </c>
      <c r="H38" s="337">
        <f t="shared" si="29"/>
        <v>107293.20473099346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596140.67112600233</v>
      </c>
      <c r="E39" s="354">
        <f t="shared" si="26"/>
        <v>35236.260789473694</v>
      </c>
      <c r="F39" s="55">
        <f t="shared" si="27"/>
        <v>560904.41033652867</v>
      </c>
      <c r="G39" s="355">
        <f t="shared" si="28"/>
        <v>103156.37237579981</v>
      </c>
      <c r="H39" s="337">
        <f t="shared" si="29"/>
        <v>103156.37237579981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560904.41033652867</v>
      </c>
      <c r="E40" s="354">
        <f t="shared" si="26"/>
        <v>35236.260789473694</v>
      </c>
      <c r="F40" s="55">
        <f t="shared" si="27"/>
        <v>525668.14954705501</v>
      </c>
      <c r="G40" s="355">
        <f t="shared" si="28"/>
        <v>99019.54002060616</v>
      </c>
      <c r="H40" s="337">
        <f t="shared" si="29"/>
        <v>99019.54002060616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525668.14954705501</v>
      </c>
      <c r="E41" s="354">
        <f t="shared" si="26"/>
        <v>35236.260789473694</v>
      </c>
      <c r="F41" s="55">
        <f t="shared" si="27"/>
        <v>490431.8887575813</v>
      </c>
      <c r="G41" s="355">
        <f t="shared" si="28"/>
        <v>94882.707665412483</v>
      </c>
      <c r="H41" s="337">
        <f t="shared" si="29"/>
        <v>94882.707665412483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490431.8887575813</v>
      </c>
      <c r="E42" s="354">
        <f t="shared" si="26"/>
        <v>35236.260789473694</v>
      </c>
      <c r="F42" s="55">
        <f t="shared" si="27"/>
        <v>455195.62796810758</v>
      </c>
      <c r="G42" s="355">
        <f t="shared" si="28"/>
        <v>90745.875310218835</v>
      </c>
      <c r="H42" s="337">
        <f t="shared" si="29"/>
        <v>90745.875310218835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455195.62796810758</v>
      </c>
      <c r="E43" s="354">
        <f t="shared" si="26"/>
        <v>35236.260789473694</v>
      </c>
      <c r="F43" s="55">
        <f t="shared" si="27"/>
        <v>419959.36717863387</v>
      </c>
      <c r="G43" s="355">
        <f t="shared" si="28"/>
        <v>86609.042955025157</v>
      </c>
      <c r="H43" s="337">
        <f t="shared" si="29"/>
        <v>86609.042955025157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419959.36717863387</v>
      </c>
      <c r="E44" s="354">
        <f t="shared" si="26"/>
        <v>35236.260789473694</v>
      </c>
      <c r="F44" s="55">
        <f t="shared" si="27"/>
        <v>384723.10638916015</v>
      </c>
      <c r="G44" s="355">
        <f t="shared" si="28"/>
        <v>82472.210599831509</v>
      </c>
      <c r="H44" s="337">
        <f t="shared" si="29"/>
        <v>82472.210599831509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384723.10638916015</v>
      </c>
      <c r="E45" s="354">
        <f t="shared" si="26"/>
        <v>35236.260789473694</v>
      </c>
      <c r="F45" s="55">
        <f t="shared" si="27"/>
        <v>349486.84559968644</v>
      </c>
      <c r="G45" s="355">
        <f t="shared" si="28"/>
        <v>78335.378244637832</v>
      </c>
      <c r="H45" s="337">
        <f t="shared" si="29"/>
        <v>78335.378244637832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349486.84559968644</v>
      </c>
      <c r="E46" s="354">
        <f t="shared" si="26"/>
        <v>35236.260789473694</v>
      </c>
      <c r="F46" s="55">
        <f t="shared" si="27"/>
        <v>314250.58481021272</v>
      </c>
      <c r="G46" s="355">
        <f t="shared" si="28"/>
        <v>74198.545889444184</v>
      </c>
      <c r="H46" s="337">
        <f t="shared" si="29"/>
        <v>74198.545889444184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314250.58481021272</v>
      </c>
      <c r="E47" s="354">
        <f t="shared" si="26"/>
        <v>35236.260789473694</v>
      </c>
      <c r="F47" s="55">
        <f t="shared" si="27"/>
        <v>279014.324020739</v>
      </c>
      <c r="G47" s="355">
        <f t="shared" si="28"/>
        <v>70061.713534250521</v>
      </c>
      <c r="H47" s="337">
        <f t="shared" si="29"/>
        <v>70061.713534250521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279014.324020739</v>
      </c>
      <c r="E48" s="354">
        <f t="shared" si="26"/>
        <v>35236.260789473694</v>
      </c>
      <c r="F48" s="55">
        <f t="shared" si="27"/>
        <v>243778.06323126532</v>
      </c>
      <c r="G48" s="355">
        <f t="shared" si="28"/>
        <v>65924.881179056858</v>
      </c>
      <c r="H48" s="337">
        <f t="shared" si="29"/>
        <v>65924.881179056858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243778.06323126532</v>
      </c>
      <c r="E49" s="354">
        <f t="shared" si="26"/>
        <v>35236.260789473694</v>
      </c>
      <c r="F49" s="55">
        <f t="shared" si="27"/>
        <v>208541.80244179163</v>
      </c>
      <c r="G49" s="355">
        <f t="shared" si="28"/>
        <v>61788.048823863202</v>
      </c>
      <c r="H49" s="337">
        <f t="shared" si="29"/>
        <v>61788.048823863202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22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208541.80244179163</v>
      </c>
      <c r="E50" s="354">
        <f t="shared" si="26"/>
        <v>35236.260789473694</v>
      </c>
      <c r="F50" s="55">
        <f t="shared" si="27"/>
        <v>173305.54165231794</v>
      </c>
      <c r="G50" s="355">
        <f t="shared" si="28"/>
        <v>57651.216468669547</v>
      </c>
      <c r="H50" s="337">
        <f t="shared" si="29"/>
        <v>57651.216468669547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22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173305.54165231794</v>
      </c>
      <c r="E51" s="354">
        <f t="shared" si="26"/>
        <v>35236.260789473694</v>
      </c>
      <c r="F51" s="55">
        <f t="shared" si="27"/>
        <v>138069.28086284426</v>
      </c>
      <c r="G51" s="355">
        <f t="shared" si="28"/>
        <v>53514.384113475884</v>
      </c>
      <c r="H51" s="337">
        <f t="shared" si="29"/>
        <v>53514.384113475884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138069.28086284426</v>
      </c>
      <c r="E52" s="354">
        <f t="shared" si="26"/>
        <v>35236.260789473694</v>
      </c>
      <c r="F52" s="55">
        <f t="shared" si="27"/>
        <v>102833.02007337057</v>
      </c>
      <c r="G52" s="355">
        <f t="shared" si="28"/>
        <v>49377.551758282229</v>
      </c>
      <c r="H52" s="337">
        <f t="shared" si="29"/>
        <v>49377.551758282229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22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102833.02007337057</v>
      </c>
      <c r="E53" s="354">
        <f t="shared" si="26"/>
        <v>35236.260789473694</v>
      </c>
      <c r="F53" s="55">
        <f t="shared" si="27"/>
        <v>67596.759283896885</v>
      </c>
      <c r="G53" s="355">
        <f t="shared" si="28"/>
        <v>45240.719403088573</v>
      </c>
      <c r="H53" s="337">
        <f t="shared" si="29"/>
        <v>45240.719403088573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22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67596.759283896885</v>
      </c>
      <c r="E54" s="354">
        <f t="shared" si="26"/>
        <v>35236.260789473694</v>
      </c>
      <c r="F54" s="55">
        <f t="shared" si="27"/>
        <v>32360.498494423191</v>
      </c>
      <c r="G54" s="355">
        <f t="shared" si="28"/>
        <v>41103.88704789491</v>
      </c>
      <c r="H54" s="337">
        <f t="shared" si="29"/>
        <v>41103.88704789491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22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32360.498494423191</v>
      </c>
      <c r="E55" s="354">
        <f t="shared" si="26"/>
        <v>32360.498494423191</v>
      </c>
      <c r="F55" s="55">
        <f t="shared" si="27"/>
        <v>0</v>
      </c>
      <c r="G55" s="355">
        <f t="shared" si="28"/>
        <v>34260.103534835383</v>
      </c>
      <c r="H55" s="337">
        <f t="shared" si="29"/>
        <v>34260.103534835383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22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0</v>
      </c>
      <c r="E56" s="354">
        <f t="shared" si="26"/>
        <v>0</v>
      </c>
      <c r="F56" s="55">
        <f t="shared" si="27"/>
        <v>0</v>
      </c>
      <c r="G56" s="355">
        <f t="shared" si="28"/>
        <v>0</v>
      </c>
      <c r="H56" s="337">
        <f t="shared" si="29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22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26"/>
        <v>0</v>
      </c>
      <c r="F57" s="55">
        <f t="shared" si="27"/>
        <v>0</v>
      </c>
      <c r="G57" s="355">
        <f t="shared" si="28"/>
        <v>0</v>
      </c>
      <c r="H57" s="337">
        <f t="shared" si="29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22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6"/>
        <v>0</v>
      </c>
      <c r="F58" s="55">
        <f t="shared" si="27"/>
        <v>0</v>
      </c>
      <c r="G58" s="355">
        <f t="shared" si="28"/>
        <v>0</v>
      </c>
      <c r="H58" s="337">
        <f t="shared" si="29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22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6"/>
        <v>0</v>
      </c>
      <c r="F59" s="55">
        <f t="shared" si="27"/>
        <v>0</v>
      </c>
      <c r="G59" s="355">
        <f t="shared" si="28"/>
        <v>0</v>
      </c>
      <c r="H59" s="337">
        <f t="shared" si="29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22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6"/>
        <v>0</v>
      </c>
      <c r="F60" s="55">
        <f t="shared" si="27"/>
        <v>0</v>
      </c>
      <c r="G60" s="355">
        <f t="shared" si="28"/>
        <v>0</v>
      </c>
      <c r="H60" s="337">
        <f t="shared" si="29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22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6"/>
        <v>0</v>
      </c>
      <c r="F61" s="55">
        <f t="shared" si="27"/>
        <v>0</v>
      </c>
      <c r="G61" s="355">
        <f t="shared" si="28"/>
        <v>0</v>
      </c>
      <c r="H61" s="337">
        <f t="shared" si="29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22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6"/>
        <v>0</v>
      </c>
      <c r="F62" s="55">
        <f t="shared" si="27"/>
        <v>0</v>
      </c>
      <c r="G62" s="355">
        <f t="shared" si="28"/>
        <v>0</v>
      </c>
      <c r="H62" s="337">
        <f t="shared" si="29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22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6"/>
        <v>0</v>
      </c>
      <c r="F63" s="55">
        <f t="shared" si="27"/>
        <v>0</v>
      </c>
      <c r="G63" s="355">
        <f t="shared" si="28"/>
        <v>0</v>
      </c>
      <c r="H63" s="337">
        <f t="shared" si="29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22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6"/>
        <v>0</v>
      </c>
      <c r="F64" s="55">
        <f t="shared" si="27"/>
        <v>0</v>
      </c>
      <c r="G64" s="355">
        <f t="shared" si="28"/>
        <v>0</v>
      </c>
      <c r="H64" s="337">
        <f t="shared" si="29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6"/>
        <v>0</v>
      </c>
      <c r="F65" s="55">
        <f t="shared" si="27"/>
        <v>0</v>
      </c>
      <c r="G65" s="355">
        <f t="shared" si="28"/>
        <v>0</v>
      </c>
      <c r="H65" s="337">
        <f t="shared" si="29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6"/>
        <v>0</v>
      </c>
      <c r="F66" s="55">
        <f t="shared" si="27"/>
        <v>0</v>
      </c>
      <c r="G66" s="355">
        <f t="shared" si="28"/>
        <v>0</v>
      </c>
      <c r="H66" s="337">
        <f t="shared" si="29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6"/>
        <v>0</v>
      </c>
      <c r="F67" s="55">
        <f t="shared" si="27"/>
        <v>0</v>
      </c>
      <c r="G67" s="355">
        <f t="shared" si="28"/>
        <v>0</v>
      </c>
      <c r="H67" s="337">
        <f t="shared" si="29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6"/>
        <v>0</v>
      </c>
      <c r="F68" s="55">
        <f t="shared" si="27"/>
        <v>0</v>
      </c>
      <c r="G68" s="355">
        <f t="shared" si="28"/>
        <v>0</v>
      </c>
      <c r="H68" s="337">
        <f t="shared" si="29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6"/>
        <v>0</v>
      </c>
      <c r="F69" s="55">
        <f t="shared" si="27"/>
        <v>0</v>
      </c>
      <c r="G69" s="355">
        <f t="shared" si="28"/>
        <v>0</v>
      </c>
      <c r="H69" s="337">
        <f t="shared" si="29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6"/>
        <v>0</v>
      </c>
      <c r="F70" s="55">
        <f t="shared" si="27"/>
        <v>0</v>
      </c>
      <c r="G70" s="355">
        <f t="shared" si="28"/>
        <v>0</v>
      </c>
      <c r="H70" s="337">
        <f t="shared" si="29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6"/>
        <v>0</v>
      </c>
      <c r="F71" s="55">
        <f t="shared" si="27"/>
        <v>0</v>
      </c>
      <c r="G71" s="355">
        <f t="shared" si="28"/>
        <v>0</v>
      </c>
      <c r="H71" s="337">
        <f t="shared" si="29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6"/>
        <v>0</v>
      </c>
      <c r="F72" s="59">
        <f t="shared" si="27"/>
        <v>0</v>
      </c>
      <c r="G72" s="382">
        <f t="shared" si="28"/>
        <v>0</v>
      </c>
      <c r="H72" s="335">
        <f t="shared" si="29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7"/>
      <c r="E73" s="267">
        <f>SUM(E17:E72)</f>
        <v>1338977.9100000008</v>
      </c>
      <c r="F73" s="267"/>
      <c r="G73" s="267">
        <f>SUM(G17:G72)</f>
        <v>4347079.5518039679</v>
      </c>
      <c r="H73" s="267">
        <f>SUM(H17:H72)</f>
        <v>4347079.5518039679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19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161154.20676823906</v>
      </c>
      <c r="N87" s="364">
        <f>IF(J92&lt;D11,0,VLOOKUP(J92,C17:O72,11))</f>
        <v>161154.20676823906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183304.36671170784</v>
      </c>
      <c r="N88" s="367">
        <f>IF(J92&lt;D11,0,VLOOKUP(J92,C99:P154,7))</f>
        <v>183304.36671170784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Valliant-NW Texarkana 345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22150.159943468781</v>
      </c>
      <c r="N89" s="369">
        <f>+N88-N87</f>
        <v>22150.159943468781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TP2009089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IF(D11=I10,0,D10)</f>
        <v>1338977.9100000004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36189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2017</v>
      </c>
      <c r="D99" s="411">
        <v>0</v>
      </c>
      <c r="E99" s="433">
        <v>21831</v>
      </c>
      <c r="F99" s="411">
        <v>1317147</v>
      </c>
      <c r="G99" s="433">
        <v>658573.5</v>
      </c>
      <c r="H99" s="414">
        <v>105372.70906867021</v>
      </c>
      <c r="I99" s="432">
        <v>105372.70906867021</v>
      </c>
      <c r="J99" s="54">
        <f t="shared" ref="J99:J130" si="30">+I99-H99</f>
        <v>0</v>
      </c>
      <c r="K99" s="54"/>
      <c r="L99" s="53">
        <f>+H99</f>
        <v>105372.70906867021</v>
      </c>
      <c r="M99" s="53">
        <f t="shared" ref="M99:M130" si="31">IF(L99&lt;&gt;0,+H99-L99,0)</f>
        <v>0</v>
      </c>
      <c r="N99" s="53">
        <f>+I99</f>
        <v>105372.70906867021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05">
        <v>1317147</v>
      </c>
      <c r="E100" s="406">
        <v>31139</v>
      </c>
      <c r="F100" s="405">
        <v>1286008</v>
      </c>
      <c r="G100" s="406">
        <v>1301577.5</v>
      </c>
      <c r="H100" s="428">
        <v>164857.30223166285</v>
      </c>
      <c r="I100" s="405">
        <v>164857.30223166285</v>
      </c>
      <c r="J100" s="54">
        <f t="shared" si="30"/>
        <v>0</v>
      </c>
      <c r="K100" s="54"/>
      <c r="L100" s="324">
        <f>H100</f>
        <v>164857.30223166285</v>
      </c>
      <c r="M100" s="63">
        <f>IF(L100&lt;&gt;0,+H100-L100,0)</f>
        <v>0</v>
      </c>
      <c r="N100" s="324">
        <f>I100</f>
        <v>164857.30223166285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2019</v>
      </c>
      <c r="D101" s="405">
        <v>1286008</v>
      </c>
      <c r="E101" s="406">
        <v>32658</v>
      </c>
      <c r="F101" s="405">
        <v>1253350</v>
      </c>
      <c r="G101" s="406">
        <v>1269679</v>
      </c>
      <c r="H101" s="428">
        <v>163579.71352002863</v>
      </c>
      <c r="I101" s="405">
        <v>163579.71352002863</v>
      </c>
      <c r="J101" s="54">
        <f t="shared" si="30"/>
        <v>0</v>
      </c>
      <c r="K101" s="54"/>
      <c r="L101" s="324">
        <f>H101</f>
        <v>163579.71352002863</v>
      </c>
      <c r="M101" s="63">
        <f>IF(L101&lt;&gt;0,+H101-L101,0)</f>
        <v>0</v>
      </c>
      <c r="N101" s="324">
        <f>I101</f>
        <v>163579.71352002863</v>
      </c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2020</v>
      </c>
      <c r="D102" s="405">
        <v>1253350</v>
      </c>
      <c r="E102" s="406">
        <v>31139</v>
      </c>
      <c r="F102" s="405">
        <v>1222211</v>
      </c>
      <c r="G102" s="406">
        <v>1237780.5</v>
      </c>
      <c r="H102" s="428">
        <v>173851.68865310939</v>
      </c>
      <c r="I102" s="405">
        <v>173851.68865310939</v>
      </c>
      <c r="J102" s="54">
        <f t="shared" si="30"/>
        <v>0</v>
      </c>
      <c r="K102" s="54"/>
      <c r="L102" s="324">
        <f>H102</f>
        <v>173851.68865310939</v>
      </c>
      <c r="M102" s="63">
        <f>IF(L102&lt;&gt;0,+H102-L102,0)</f>
        <v>0</v>
      </c>
      <c r="N102" s="324">
        <f>I102</f>
        <v>173851.68865310939</v>
      </c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2021</v>
      </c>
      <c r="D103" s="405">
        <v>1222211</v>
      </c>
      <c r="E103" s="406">
        <v>32658</v>
      </c>
      <c r="F103" s="405">
        <v>1189553</v>
      </c>
      <c r="G103" s="406">
        <v>1205882</v>
      </c>
      <c r="H103" s="428">
        <v>169878.68084636764</v>
      </c>
      <c r="I103" s="405">
        <v>169878.68084636764</v>
      </c>
      <c r="J103" s="54">
        <f t="shared" si="30"/>
        <v>0</v>
      </c>
      <c r="K103" s="54"/>
      <c r="L103" s="324">
        <f>H103</f>
        <v>169878.68084636764</v>
      </c>
      <c r="M103" s="63">
        <f>IF(L103&lt;&gt;0,+H103-L103,0)</f>
        <v>0</v>
      </c>
      <c r="N103" s="324">
        <f>I103</f>
        <v>169878.68084636764</v>
      </c>
      <c r="O103" s="54">
        <f t="shared" ref="O103" si="35">IF(N103&lt;&gt;0,+I103-N103,0)</f>
        <v>0</v>
      </c>
      <c r="P103" s="54">
        <f t="shared" ref="P103" si="36">+O103-M103</f>
        <v>0</v>
      </c>
    </row>
    <row r="104" spans="1:16" ht="12.5">
      <c r="B104" s="7" t="str">
        <f t="shared" si="34"/>
        <v/>
      </c>
      <c r="C104" s="450">
        <f>IF(D93="","-",+C103+1)</f>
        <v>2022</v>
      </c>
      <c r="D104" s="405">
        <v>1189553</v>
      </c>
      <c r="E104" s="406">
        <v>34333</v>
      </c>
      <c r="F104" s="405">
        <v>1155220</v>
      </c>
      <c r="G104" s="406">
        <v>1172386.5</v>
      </c>
      <c r="H104" s="428">
        <v>163509.65476559798</v>
      </c>
      <c r="I104" s="405">
        <v>163509.65476559798</v>
      </c>
      <c r="J104" s="54">
        <f t="shared" si="30"/>
        <v>0</v>
      </c>
      <c r="K104" s="54"/>
      <c r="L104" s="324">
        <f t="shared" ref="L104:L105" si="37">H104</f>
        <v>163509.65476559798</v>
      </c>
      <c r="M104" s="63">
        <f t="shared" ref="M104:M105" si="38">IF(L104&lt;&gt;0,+H104-L104,0)</f>
        <v>0</v>
      </c>
      <c r="N104" s="324">
        <f t="shared" ref="N104:N105" si="39">I104</f>
        <v>163509.65476559798</v>
      </c>
      <c r="O104" s="54">
        <f t="shared" ref="O104:O105" si="40">IF(N104&lt;&gt;0,+I104-N104,0)</f>
        <v>0</v>
      </c>
      <c r="P104" s="54">
        <f t="shared" ref="P104:P105" si="41">+O104-M104</f>
        <v>0</v>
      </c>
    </row>
    <row r="105" spans="1:16" ht="12.5">
      <c r="B105" s="7" t="str">
        <f t="shared" si="34"/>
        <v>IU</v>
      </c>
      <c r="C105" s="50">
        <f>IF(D93="","-",+C104+1)</f>
        <v>2023</v>
      </c>
      <c r="D105" s="405">
        <v>1155219.9100000004</v>
      </c>
      <c r="E105" s="406">
        <v>35236</v>
      </c>
      <c r="F105" s="405">
        <v>1119983.9100000004</v>
      </c>
      <c r="G105" s="406">
        <v>1137601.9100000004</v>
      </c>
      <c r="H105" s="428">
        <v>165180.91372956004</v>
      </c>
      <c r="I105" s="405">
        <v>165180.91372956004</v>
      </c>
      <c r="J105" s="54">
        <v>0</v>
      </c>
      <c r="K105" s="54"/>
      <c r="L105" s="324">
        <f t="shared" si="37"/>
        <v>165180.91372956004</v>
      </c>
      <c r="M105" s="63">
        <f t="shared" si="38"/>
        <v>0</v>
      </c>
      <c r="N105" s="324">
        <f t="shared" si="39"/>
        <v>165180.91372956004</v>
      </c>
      <c r="O105" s="54">
        <f t="shared" si="40"/>
        <v>0</v>
      </c>
      <c r="P105" s="54">
        <f t="shared" si="41"/>
        <v>0</v>
      </c>
    </row>
    <row r="106" spans="1:16" ht="12.5">
      <c r="B106" s="7" t="str">
        <f t="shared" si="34"/>
        <v/>
      </c>
      <c r="C106" s="50">
        <f>IF(D93="","-",+C105+1)</f>
        <v>2024</v>
      </c>
      <c r="D106" s="405">
        <v>1119983.9100000004</v>
      </c>
      <c r="E106" s="406">
        <v>35236</v>
      </c>
      <c r="F106" s="405">
        <v>1084747.9100000004</v>
      </c>
      <c r="G106" s="406">
        <v>1102365.9100000004</v>
      </c>
      <c r="H106" s="428">
        <v>183304.36671170784</v>
      </c>
      <c r="I106" s="405">
        <v>183304.36671170784</v>
      </c>
      <c r="J106" s="54">
        <f t="shared" si="30"/>
        <v>0</v>
      </c>
      <c r="K106" s="54"/>
      <c r="L106" s="324">
        <f t="shared" ref="L106" si="42">H106</f>
        <v>183304.36671170784</v>
      </c>
      <c r="M106" s="63">
        <f t="shared" ref="M106" si="43">IF(L106&lt;&gt;0,+H106-L106,0)</f>
        <v>0</v>
      </c>
      <c r="N106" s="324">
        <f t="shared" ref="N106" si="44">I106</f>
        <v>183304.36671170784</v>
      </c>
      <c r="O106" s="54">
        <f t="shared" ref="O106" si="45">IF(N106&lt;&gt;0,+I106-N106,0)</f>
        <v>0</v>
      </c>
      <c r="P106" s="54">
        <f t="shared" ref="P106" si="46">+O106-M106</f>
        <v>0</v>
      </c>
    </row>
    <row r="107" spans="1:16" ht="12.5">
      <c r="B107" s="7" t="str">
        <f t="shared" si="34"/>
        <v/>
      </c>
      <c r="C107" s="50">
        <f>IF(D93="","-",+C106+1)</f>
        <v>2025</v>
      </c>
      <c r="D107" s="12">
        <f>IF(F106+SUM(E$99:E106)=D$92,F106,D$92-SUM(E$99:E106))</f>
        <v>1084747.9100000004</v>
      </c>
      <c r="E107" s="354">
        <f t="shared" ref="E107:E154" si="47">IF(+J$96&lt;F106,J$96,D107)</f>
        <v>36189</v>
      </c>
      <c r="F107" s="55">
        <f t="shared" ref="F107:F154" si="48">+D107-E107</f>
        <v>1048558.9100000004</v>
      </c>
      <c r="G107" s="55">
        <f t="shared" ref="G107:G154" si="49">+(F107+D107)/2</f>
        <v>1066653.4100000004</v>
      </c>
      <c r="H107" s="436">
        <f t="shared" ref="H107:H154" si="50">+J$94*G107+E107</f>
        <v>179460.5097894978</v>
      </c>
      <c r="I107" s="437">
        <f t="shared" ref="I107:I154" si="51">+J$95*G107+E107</f>
        <v>179460.5097894978</v>
      </c>
      <c r="J107" s="54">
        <f t="shared" si="30"/>
        <v>0</v>
      </c>
      <c r="K107" s="54"/>
      <c r="L107" s="115"/>
      <c r="M107" s="54">
        <f t="shared" si="31"/>
        <v>0</v>
      </c>
      <c r="N107" s="115"/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2026</v>
      </c>
      <c r="D108" s="12">
        <f>IF(F107+SUM(E$99:E107)=D$92,F107,D$92-SUM(E$99:E107))</f>
        <v>1048558.9100000004</v>
      </c>
      <c r="E108" s="354">
        <f t="shared" si="47"/>
        <v>36189</v>
      </c>
      <c r="F108" s="55">
        <f t="shared" si="48"/>
        <v>1012369.9100000004</v>
      </c>
      <c r="G108" s="55">
        <f t="shared" si="49"/>
        <v>1030464.4100000004</v>
      </c>
      <c r="H108" s="436">
        <f t="shared" si="50"/>
        <v>174599.65000208837</v>
      </c>
      <c r="I108" s="437">
        <f t="shared" si="51"/>
        <v>174599.65000208837</v>
      </c>
      <c r="J108" s="54">
        <f t="shared" si="30"/>
        <v>0</v>
      </c>
      <c r="K108" s="54"/>
      <c r="L108" s="115"/>
      <c r="M108" s="54">
        <f t="shared" si="31"/>
        <v>0</v>
      </c>
      <c r="N108" s="115"/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2027</v>
      </c>
      <c r="D109" s="12">
        <f>IF(F108+SUM(E$99:E108)=D$92,F108,D$92-SUM(E$99:E108))</f>
        <v>1012369.9100000004</v>
      </c>
      <c r="E109" s="354">
        <f t="shared" si="47"/>
        <v>36189</v>
      </c>
      <c r="F109" s="55">
        <f t="shared" si="48"/>
        <v>976180.91000000038</v>
      </c>
      <c r="G109" s="55">
        <f t="shared" si="49"/>
        <v>994275.41000000038</v>
      </c>
      <c r="H109" s="436">
        <f t="shared" si="50"/>
        <v>169738.79021467897</v>
      </c>
      <c r="I109" s="437">
        <f t="shared" si="51"/>
        <v>169738.79021467897</v>
      </c>
      <c r="J109" s="54">
        <f t="shared" si="30"/>
        <v>0</v>
      </c>
      <c r="K109" s="54"/>
      <c r="L109" s="115"/>
      <c r="M109" s="54">
        <f t="shared" si="31"/>
        <v>0</v>
      </c>
      <c r="N109" s="115"/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2028</v>
      </c>
      <c r="D110" s="12">
        <f>IF(F109+SUM(E$99:E109)=D$92,F109,D$92-SUM(E$99:E109))</f>
        <v>976180.91000000038</v>
      </c>
      <c r="E110" s="354">
        <f t="shared" si="47"/>
        <v>36189</v>
      </c>
      <c r="F110" s="55">
        <f t="shared" si="48"/>
        <v>939991.91000000038</v>
      </c>
      <c r="G110" s="55">
        <f t="shared" si="49"/>
        <v>958086.41000000038</v>
      </c>
      <c r="H110" s="436">
        <f t="shared" si="50"/>
        <v>164877.93042726954</v>
      </c>
      <c r="I110" s="437">
        <f t="shared" si="51"/>
        <v>164877.93042726954</v>
      </c>
      <c r="J110" s="54">
        <f t="shared" si="30"/>
        <v>0</v>
      </c>
      <c r="K110" s="54"/>
      <c r="L110" s="115"/>
      <c r="M110" s="54">
        <f t="shared" si="31"/>
        <v>0</v>
      </c>
      <c r="N110" s="115"/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2029</v>
      </c>
      <c r="D111" s="12">
        <f>IF(F110+SUM(E$99:E110)=D$92,F110,D$92-SUM(E$99:E110))</f>
        <v>939991.91000000038</v>
      </c>
      <c r="E111" s="354">
        <f t="shared" si="47"/>
        <v>36189</v>
      </c>
      <c r="F111" s="55">
        <f t="shared" si="48"/>
        <v>903802.91000000038</v>
      </c>
      <c r="G111" s="55">
        <f t="shared" si="49"/>
        <v>921897.41000000038</v>
      </c>
      <c r="H111" s="436">
        <f t="shared" si="50"/>
        <v>160017.07063986012</v>
      </c>
      <c r="I111" s="437">
        <f t="shared" si="51"/>
        <v>160017.07063986012</v>
      </c>
      <c r="J111" s="54">
        <f t="shared" si="30"/>
        <v>0</v>
      </c>
      <c r="K111" s="54"/>
      <c r="L111" s="115"/>
      <c r="M111" s="54">
        <f t="shared" si="31"/>
        <v>0</v>
      </c>
      <c r="N111" s="115"/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2030</v>
      </c>
      <c r="D112" s="12">
        <f>IF(F111+SUM(E$99:E111)=D$92,F111,D$92-SUM(E$99:E111))</f>
        <v>903802.91000000038</v>
      </c>
      <c r="E112" s="354">
        <f t="shared" si="47"/>
        <v>36189</v>
      </c>
      <c r="F112" s="55">
        <f t="shared" si="48"/>
        <v>867613.91000000038</v>
      </c>
      <c r="G112" s="55">
        <f t="shared" si="49"/>
        <v>885708.41000000038</v>
      </c>
      <c r="H112" s="436">
        <f t="shared" si="50"/>
        <v>155156.21085245069</v>
      </c>
      <c r="I112" s="437">
        <f t="shared" si="51"/>
        <v>155156.21085245069</v>
      </c>
      <c r="J112" s="54">
        <f t="shared" si="30"/>
        <v>0</v>
      </c>
      <c r="K112" s="54"/>
      <c r="L112" s="115"/>
      <c r="M112" s="54">
        <f t="shared" si="31"/>
        <v>0</v>
      </c>
      <c r="N112" s="115"/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2031</v>
      </c>
      <c r="D113" s="12">
        <f>IF(F112+SUM(E$99:E112)=D$92,F112,D$92-SUM(E$99:E112))</f>
        <v>867613.91000000038</v>
      </c>
      <c r="E113" s="354">
        <f t="shared" si="47"/>
        <v>36189</v>
      </c>
      <c r="F113" s="55">
        <f t="shared" si="48"/>
        <v>831424.91000000038</v>
      </c>
      <c r="G113" s="55">
        <f t="shared" si="49"/>
        <v>849519.41000000038</v>
      </c>
      <c r="H113" s="436">
        <f t="shared" si="50"/>
        <v>150295.35106504126</v>
      </c>
      <c r="I113" s="437">
        <f t="shared" si="51"/>
        <v>150295.35106504126</v>
      </c>
      <c r="J113" s="54">
        <f t="shared" si="30"/>
        <v>0</v>
      </c>
      <c r="K113" s="54"/>
      <c r="L113" s="115"/>
      <c r="M113" s="54">
        <f t="shared" si="31"/>
        <v>0</v>
      </c>
      <c r="N113" s="115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2032</v>
      </c>
      <c r="D114" s="12">
        <f>IF(F113+SUM(E$99:E113)=D$92,F113,D$92-SUM(E$99:E113))</f>
        <v>831424.91000000038</v>
      </c>
      <c r="E114" s="354">
        <f t="shared" si="47"/>
        <v>36189</v>
      </c>
      <c r="F114" s="55">
        <f t="shared" si="48"/>
        <v>795235.91000000038</v>
      </c>
      <c r="G114" s="55">
        <f t="shared" si="49"/>
        <v>813330.41000000038</v>
      </c>
      <c r="H114" s="436">
        <f t="shared" si="50"/>
        <v>145434.49127763184</v>
      </c>
      <c r="I114" s="437">
        <f t="shared" si="51"/>
        <v>145434.49127763184</v>
      </c>
      <c r="J114" s="54">
        <f t="shared" si="30"/>
        <v>0</v>
      </c>
      <c r="K114" s="54"/>
      <c r="L114" s="115"/>
      <c r="M114" s="54">
        <f t="shared" si="31"/>
        <v>0</v>
      </c>
      <c r="N114" s="115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2033</v>
      </c>
      <c r="D115" s="12">
        <f>IF(F114+SUM(E$99:E114)=D$92,F114,D$92-SUM(E$99:E114))</f>
        <v>795235.91000000038</v>
      </c>
      <c r="E115" s="354">
        <f t="shared" si="47"/>
        <v>36189</v>
      </c>
      <c r="F115" s="55">
        <f t="shared" si="48"/>
        <v>759046.91000000038</v>
      </c>
      <c r="G115" s="55">
        <f t="shared" si="49"/>
        <v>777141.41000000038</v>
      </c>
      <c r="H115" s="436">
        <f t="shared" si="50"/>
        <v>140573.63149022241</v>
      </c>
      <c r="I115" s="437">
        <f t="shared" si="51"/>
        <v>140573.63149022241</v>
      </c>
      <c r="J115" s="54">
        <f t="shared" si="30"/>
        <v>0</v>
      </c>
      <c r="K115" s="54"/>
      <c r="L115" s="115"/>
      <c r="M115" s="54">
        <f t="shared" si="31"/>
        <v>0</v>
      </c>
      <c r="N115" s="115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2034</v>
      </c>
      <c r="D116" s="12">
        <f>IF(F115+SUM(E$99:E115)=D$92,F115,D$92-SUM(E$99:E115))</f>
        <v>759046.91000000038</v>
      </c>
      <c r="E116" s="354">
        <f t="shared" si="47"/>
        <v>36189</v>
      </c>
      <c r="F116" s="55">
        <f t="shared" si="48"/>
        <v>722857.91000000038</v>
      </c>
      <c r="G116" s="55">
        <f t="shared" si="49"/>
        <v>740952.41000000038</v>
      </c>
      <c r="H116" s="436">
        <f t="shared" si="50"/>
        <v>135712.77170281301</v>
      </c>
      <c r="I116" s="437">
        <f t="shared" si="51"/>
        <v>135712.77170281301</v>
      </c>
      <c r="J116" s="54">
        <f t="shared" si="30"/>
        <v>0</v>
      </c>
      <c r="K116" s="54"/>
      <c r="L116" s="115"/>
      <c r="M116" s="54">
        <f t="shared" si="31"/>
        <v>0</v>
      </c>
      <c r="N116" s="115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2035</v>
      </c>
      <c r="D117" s="12">
        <f>IF(F116+SUM(E$99:E116)=D$92,F116,D$92-SUM(E$99:E116))</f>
        <v>722857.91000000038</v>
      </c>
      <c r="E117" s="354">
        <f t="shared" si="47"/>
        <v>36189</v>
      </c>
      <c r="F117" s="55">
        <f t="shared" si="48"/>
        <v>686668.91000000038</v>
      </c>
      <c r="G117" s="55">
        <f t="shared" si="49"/>
        <v>704763.41000000038</v>
      </c>
      <c r="H117" s="436">
        <f t="shared" si="50"/>
        <v>130851.91191540359</v>
      </c>
      <c r="I117" s="437">
        <f t="shared" si="51"/>
        <v>130851.91191540359</v>
      </c>
      <c r="J117" s="54">
        <f t="shared" si="30"/>
        <v>0</v>
      </c>
      <c r="K117" s="54"/>
      <c r="L117" s="115"/>
      <c r="M117" s="54">
        <f t="shared" si="31"/>
        <v>0</v>
      </c>
      <c r="N117" s="115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2036</v>
      </c>
      <c r="D118" s="12">
        <f>IF(F117+SUM(E$99:E117)=D$92,F117,D$92-SUM(E$99:E117))</f>
        <v>686668.91000000038</v>
      </c>
      <c r="E118" s="354">
        <f t="shared" si="47"/>
        <v>36189</v>
      </c>
      <c r="F118" s="55">
        <f t="shared" si="48"/>
        <v>650479.91000000038</v>
      </c>
      <c r="G118" s="55">
        <f t="shared" si="49"/>
        <v>668574.41000000038</v>
      </c>
      <c r="H118" s="436">
        <f t="shared" si="50"/>
        <v>125991.05212799417</v>
      </c>
      <c r="I118" s="437">
        <f t="shared" si="51"/>
        <v>125991.05212799417</v>
      </c>
      <c r="J118" s="54">
        <f t="shared" si="30"/>
        <v>0</v>
      </c>
      <c r="K118" s="54"/>
      <c r="L118" s="115"/>
      <c r="M118" s="54">
        <f t="shared" si="31"/>
        <v>0</v>
      </c>
      <c r="N118" s="115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2037</v>
      </c>
      <c r="D119" s="12">
        <f>IF(F118+SUM(E$99:E118)=D$92,F118,D$92-SUM(E$99:E118))</f>
        <v>650479.91000000038</v>
      </c>
      <c r="E119" s="354">
        <f t="shared" si="47"/>
        <v>36189</v>
      </c>
      <c r="F119" s="55">
        <f t="shared" si="48"/>
        <v>614290.91000000038</v>
      </c>
      <c r="G119" s="55">
        <f t="shared" si="49"/>
        <v>632385.41000000038</v>
      </c>
      <c r="H119" s="436">
        <f t="shared" si="50"/>
        <v>121130.19234058475</v>
      </c>
      <c r="I119" s="437">
        <f t="shared" si="51"/>
        <v>121130.19234058475</v>
      </c>
      <c r="J119" s="54">
        <f t="shared" si="30"/>
        <v>0</v>
      </c>
      <c r="K119" s="54"/>
      <c r="L119" s="115"/>
      <c r="M119" s="54">
        <f t="shared" si="31"/>
        <v>0</v>
      </c>
      <c r="N119" s="115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2038</v>
      </c>
      <c r="D120" s="12">
        <f>IF(F119+SUM(E$99:E119)=D$92,F119,D$92-SUM(E$99:E119))</f>
        <v>614290.91000000038</v>
      </c>
      <c r="E120" s="354">
        <f t="shared" si="47"/>
        <v>36189</v>
      </c>
      <c r="F120" s="55">
        <f t="shared" si="48"/>
        <v>578101.91000000038</v>
      </c>
      <c r="G120" s="55">
        <f t="shared" si="49"/>
        <v>596196.41000000038</v>
      </c>
      <c r="H120" s="436">
        <f t="shared" si="50"/>
        <v>116269.33255317532</v>
      </c>
      <c r="I120" s="437">
        <f t="shared" si="51"/>
        <v>116269.33255317532</v>
      </c>
      <c r="J120" s="54">
        <f t="shared" si="30"/>
        <v>0</v>
      </c>
      <c r="K120" s="54"/>
      <c r="L120" s="115"/>
      <c r="M120" s="54">
        <f t="shared" si="31"/>
        <v>0</v>
      </c>
      <c r="N120" s="115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2039</v>
      </c>
      <c r="D121" s="12">
        <f>IF(F120+SUM(E$99:E120)=D$92,F120,D$92-SUM(E$99:E120))</f>
        <v>578101.91000000038</v>
      </c>
      <c r="E121" s="354">
        <f t="shared" si="47"/>
        <v>36189</v>
      </c>
      <c r="F121" s="55">
        <f t="shared" si="48"/>
        <v>541912.91000000038</v>
      </c>
      <c r="G121" s="55">
        <f t="shared" si="49"/>
        <v>560007.41000000038</v>
      </c>
      <c r="H121" s="436">
        <f t="shared" si="50"/>
        <v>111408.47276576591</v>
      </c>
      <c r="I121" s="437">
        <f t="shared" si="51"/>
        <v>111408.47276576591</v>
      </c>
      <c r="J121" s="54">
        <f t="shared" si="30"/>
        <v>0</v>
      </c>
      <c r="K121" s="54"/>
      <c r="L121" s="115"/>
      <c r="M121" s="54">
        <f t="shared" si="31"/>
        <v>0</v>
      </c>
      <c r="N121" s="115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2040</v>
      </c>
      <c r="D122" s="12">
        <f>IF(F121+SUM(E$99:E121)=D$92,F121,D$92-SUM(E$99:E121))</f>
        <v>541912.91000000038</v>
      </c>
      <c r="E122" s="354">
        <f t="shared" si="47"/>
        <v>36189</v>
      </c>
      <c r="F122" s="55">
        <f t="shared" si="48"/>
        <v>505723.91000000038</v>
      </c>
      <c r="G122" s="55">
        <f t="shared" si="49"/>
        <v>523818.41000000038</v>
      </c>
      <c r="H122" s="436">
        <f t="shared" si="50"/>
        <v>106547.61297835648</v>
      </c>
      <c r="I122" s="437">
        <f t="shared" si="51"/>
        <v>106547.61297835648</v>
      </c>
      <c r="J122" s="54">
        <f t="shared" si="30"/>
        <v>0</v>
      </c>
      <c r="K122" s="54"/>
      <c r="L122" s="115"/>
      <c r="M122" s="54">
        <f t="shared" si="31"/>
        <v>0</v>
      </c>
      <c r="N122" s="115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2041</v>
      </c>
      <c r="D123" s="12">
        <f>IF(F122+SUM(E$99:E122)=D$92,F122,D$92-SUM(E$99:E122))</f>
        <v>505723.91000000038</v>
      </c>
      <c r="E123" s="354">
        <f t="shared" si="47"/>
        <v>36189</v>
      </c>
      <c r="F123" s="55">
        <f t="shared" si="48"/>
        <v>469534.91000000038</v>
      </c>
      <c r="G123" s="55">
        <f t="shared" si="49"/>
        <v>487629.41000000038</v>
      </c>
      <c r="H123" s="436">
        <f t="shared" si="50"/>
        <v>101686.75319094706</v>
      </c>
      <c r="I123" s="437">
        <f t="shared" si="51"/>
        <v>101686.75319094706</v>
      </c>
      <c r="J123" s="54">
        <f t="shared" si="30"/>
        <v>0</v>
      </c>
      <c r="K123" s="54"/>
      <c r="L123" s="115"/>
      <c r="M123" s="54">
        <f t="shared" si="31"/>
        <v>0</v>
      </c>
      <c r="N123" s="115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2042</v>
      </c>
      <c r="D124" s="12">
        <f>IF(F123+SUM(E$99:E123)=D$92,F123,D$92-SUM(E$99:E123))</f>
        <v>469534.91000000038</v>
      </c>
      <c r="E124" s="354">
        <f t="shared" si="47"/>
        <v>36189</v>
      </c>
      <c r="F124" s="55">
        <f t="shared" si="48"/>
        <v>433345.91000000038</v>
      </c>
      <c r="G124" s="55">
        <f t="shared" si="49"/>
        <v>451440.41000000038</v>
      </c>
      <c r="H124" s="436">
        <f t="shared" si="50"/>
        <v>96825.893403537644</v>
      </c>
      <c r="I124" s="437">
        <f t="shared" si="51"/>
        <v>96825.893403537644</v>
      </c>
      <c r="J124" s="54">
        <f t="shared" si="30"/>
        <v>0</v>
      </c>
      <c r="K124" s="54"/>
      <c r="L124" s="115"/>
      <c r="M124" s="54">
        <f t="shared" si="31"/>
        <v>0</v>
      </c>
      <c r="N124" s="115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2043</v>
      </c>
      <c r="D125" s="12">
        <f>IF(F124+SUM(E$99:E124)=D$92,F124,D$92-SUM(E$99:E124))</f>
        <v>433345.91000000038</v>
      </c>
      <c r="E125" s="354">
        <f t="shared" si="47"/>
        <v>36189</v>
      </c>
      <c r="F125" s="55">
        <f t="shared" si="48"/>
        <v>397156.91000000038</v>
      </c>
      <c r="G125" s="55">
        <f t="shared" si="49"/>
        <v>415251.41000000038</v>
      </c>
      <c r="H125" s="436">
        <f t="shared" si="50"/>
        <v>91965.033616128218</v>
      </c>
      <c r="I125" s="437">
        <f t="shared" si="51"/>
        <v>91965.033616128218</v>
      </c>
      <c r="J125" s="54">
        <f t="shared" si="30"/>
        <v>0</v>
      </c>
      <c r="K125" s="54"/>
      <c r="L125" s="115"/>
      <c r="M125" s="54">
        <f t="shared" si="31"/>
        <v>0</v>
      </c>
      <c r="N125" s="115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2044</v>
      </c>
      <c r="D126" s="12">
        <f>IF(F125+SUM(E$99:E125)=D$92,F125,D$92-SUM(E$99:E125))</f>
        <v>397156.91000000038</v>
      </c>
      <c r="E126" s="354">
        <f t="shared" si="47"/>
        <v>36189</v>
      </c>
      <c r="F126" s="55">
        <f t="shared" si="48"/>
        <v>360967.91000000038</v>
      </c>
      <c r="G126" s="55">
        <f t="shared" si="49"/>
        <v>379062.41000000038</v>
      </c>
      <c r="H126" s="436">
        <f t="shared" si="50"/>
        <v>87104.173828718805</v>
      </c>
      <c r="I126" s="437">
        <f t="shared" si="51"/>
        <v>87104.173828718805</v>
      </c>
      <c r="J126" s="54">
        <f t="shared" si="30"/>
        <v>0</v>
      </c>
      <c r="K126" s="54"/>
      <c r="L126" s="115"/>
      <c r="M126" s="54">
        <f t="shared" si="31"/>
        <v>0</v>
      </c>
      <c r="N126" s="115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2045</v>
      </c>
      <c r="D127" s="12">
        <f>IF(F126+SUM(E$99:E126)=D$92,F126,D$92-SUM(E$99:E126))</f>
        <v>360967.91000000038</v>
      </c>
      <c r="E127" s="354">
        <f t="shared" si="47"/>
        <v>36189</v>
      </c>
      <c r="F127" s="55">
        <f t="shared" si="48"/>
        <v>324778.91000000038</v>
      </c>
      <c r="G127" s="55">
        <f t="shared" si="49"/>
        <v>342873.41000000038</v>
      </c>
      <c r="H127" s="436">
        <f t="shared" si="50"/>
        <v>82243.314041309379</v>
      </c>
      <c r="I127" s="437">
        <f t="shared" si="51"/>
        <v>82243.314041309379</v>
      </c>
      <c r="J127" s="54">
        <f t="shared" si="30"/>
        <v>0</v>
      </c>
      <c r="K127" s="54"/>
      <c r="L127" s="115"/>
      <c r="M127" s="54">
        <f t="shared" si="31"/>
        <v>0</v>
      </c>
      <c r="N127" s="115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2046</v>
      </c>
      <c r="D128" s="12">
        <f>IF(F127+SUM(E$99:E127)=D$92,F127,D$92-SUM(E$99:E127))</f>
        <v>324778.91000000038</v>
      </c>
      <c r="E128" s="354">
        <f t="shared" si="47"/>
        <v>36189</v>
      </c>
      <c r="F128" s="55">
        <f t="shared" si="48"/>
        <v>288589.91000000038</v>
      </c>
      <c r="G128" s="55">
        <f t="shared" si="49"/>
        <v>306684.41000000038</v>
      </c>
      <c r="H128" s="436">
        <f t="shared" si="50"/>
        <v>77382.454253899952</v>
      </c>
      <c r="I128" s="437">
        <f t="shared" si="51"/>
        <v>77382.454253899952</v>
      </c>
      <c r="J128" s="54">
        <f t="shared" si="30"/>
        <v>0</v>
      </c>
      <c r="K128" s="54"/>
      <c r="L128" s="115"/>
      <c r="M128" s="54">
        <f t="shared" si="31"/>
        <v>0</v>
      </c>
      <c r="N128" s="115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2047</v>
      </c>
      <c r="D129" s="12">
        <f>IF(F128+SUM(E$99:E128)=D$92,F128,D$92-SUM(E$99:E128))</f>
        <v>288589.91000000038</v>
      </c>
      <c r="E129" s="354">
        <f t="shared" si="47"/>
        <v>36189</v>
      </c>
      <c r="F129" s="55">
        <f t="shared" si="48"/>
        <v>252400.91000000038</v>
      </c>
      <c r="G129" s="55">
        <f t="shared" si="49"/>
        <v>270495.41000000038</v>
      </c>
      <c r="H129" s="436">
        <f t="shared" si="50"/>
        <v>72521.59446649054</v>
      </c>
      <c r="I129" s="437">
        <f t="shared" si="51"/>
        <v>72521.59446649054</v>
      </c>
      <c r="J129" s="54">
        <f t="shared" si="30"/>
        <v>0</v>
      </c>
      <c r="K129" s="54"/>
      <c r="L129" s="115"/>
      <c r="M129" s="54">
        <f t="shared" si="31"/>
        <v>0</v>
      </c>
      <c r="N129" s="115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2048</v>
      </c>
      <c r="D130" s="12">
        <f>IF(F129+SUM(E$99:E129)=D$92,F129,D$92-SUM(E$99:E129))</f>
        <v>252400.91000000038</v>
      </c>
      <c r="E130" s="354">
        <f t="shared" si="47"/>
        <v>36189</v>
      </c>
      <c r="F130" s="55">
        <f t="shared" si="48"/>
        <v>216211.91000000038</v>
      </c>
      <c r="G130" s="55">
        <f t="shared" si="49"/>
        <v>234306.41000000038</v>
      </c>
      <c r="H130" s="436">
        <f t="shared" si="50"/>
        <v>67660.734679081113</v>
      </c>
      <c r="I130" s="437">
        <f t="shared" si="51"/>
        <v>67660.734679081113</v>
      </c>
      <c r="J130" s="54">
        <f t="shared" si="30"/>
        <v>0</v>
      </c>
      <c r="K130" s="54"/>
      <c r="L130" s="115"/>
      <c r="M130" s="54">
        <f t="shared" si="31"/>
        <v>0</v>
      </c>
      <c r="N130" s="115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2049</v>
      </c>
      <c r="D131" s="12">
        <f>IF(F130+SUM(E$99:E130)=D$92,F130,D$92-SUM(E$99:E130))</f>
        <v>216211.91000000038</v>
      </c>
      <c r="E131" s="354">
        <f t="shared" si="47"/>
        <v>36189</v>
      </c>
      <c r="F131" s="55">
        <f t="shared" si="48"/>
        <v>180022.91000000038</v>
      </c>
      <c r="G131" s="55">
        <f t="shared" si="49"/>
        <v>198117.41000000038</v>
      </c>
      <c r="H131" s="436">
        <f t="shared" si="50"/>
        <v>62799.874891671694</v>
      </c>
      <c r="I131" s="437">
        <f t="shared" si="51"/>
        <v>62799.874891671694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4"/>
        <v/>
      </c>
      <c r="C132" s="50">
        <f>IF(D93="","-",+C131+1)</f>
        <v>2050</v>
      </c>
      <c r="D132" s="12">
        <f>IF(F131+SUM(E$99:E131)=D$92,F131,D$92-SUM(E$99:E131))</f>
        <v>180022.91000000038</v>
      </c>
      <c r="E132" s="354">
        <f t="shared" si="47"/>
        <v>36189</v>
      </c>
      <c r="F132" s="55">
        <f t="shared" si="48"/>
        <v>143833.91000000038</v>
      </c>
      <c r="G132" s="55">
        <f t="shared" si="49"/>
        <v>161928.41000000038</v>
      </c>
      <c r="H132" s="436">
        <f t="shared" si="50"/>
        <v>57939.015104262275</v>
      </c>
      <c r="I132" s="437">
        <f t="shared" si="51"/>
        <v>57939.015104262275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2051</v>
      </c>
      <c r="D133" s="12">
        <f>IF(F132+SUM(E$99:E132)=D$92,F132,D$92-SUM(E$99:E132))</f>
        <v>143833.91000000038</v>
      </c>
      <c r="E133" s="354">
        <f t="shared" si="47"/>
        <v>36189</v>
      </c>
      <c r="F133" s="55">
        <f t="shared" si="48"/>
        <v>107644.91000000038</v>
      </c>
      <c r="G133" s="55">
        <f t="shared" si="49"/>
        <v>125739.41000000038</v>
      </c>
      <c r="H133" s="436">
        <f t="shared" si="50"/>
        <v>53078.155316852848</v>
      </c>
      <c r="I133" s="437">
        <f t="shared" si="51"/>
        <v>53078.155316852848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2052</v>
      </c>
      <c r="D134" s="12">
        <f>IF(F133+SUM(E$99:E133)=D$92,F133,D$92-SUM(E$99:E133))</f>
        <v>107644.91000000038</v>
      </c>
      <c r="E134" s="354">
        <f t="shared" si="47"/>
        <v>36189</v>
      </c>
      <c r="F134" s="55">
        <f t="shared" si="48"/>
        <v>71455.910000000382</v>
      </c>
      <c r="G134" s="55">
        <f t="shared" si="49"/>
        <v>89550.410000000382</v>
      </c>
      <c r="H134" s="436">
        <f t="shared" si="50"/>
        <v>48217.295529443436</v>
      </c>
      <c r="I134" s="437">
        <f t="shared" si="51"/>
        <v>48217.295529443436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2053</v>
      </c>
      <c r="D135" s="12">
        <f>IF(F134+SUM(E$99:E134)=D$92,F134,D$92-SUM(E$99:E134))</f>
        <v>71455.910000000382</v>
      </c>
      <c r="E135" s="354">
        <f t="shared" si="47"/>
        <v>36189</v>
      </c>
      <c r="F135" s="55">
        <f t="shared" si="48"/>
        <v>35266.910000000382</v>
      </c>
      <c r="G135" s="55">
        <f t="shared" si="49"/>
        <v>53361.410000000382</v>
      </c>
      <c r="H135" s="436">
        <f t="shared" si="50"/>
        <v>43356.435742034009</v>
      </c>
      <c r="I135" s="437">
        <f t="shared" si="51"/>
        <v>43356.435742034009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2054</v>
      </c>
      <c r="D136" s="12">
        <f>IF(F135+SUM(E$99:E135)=D$92,F135,D$92-SUM(E$99:E135))</f>
        <v>35266.910000000382</v>
      </c>
      <c r="E136" s="354">
        <f t="shared" si="47"/>
        <v>35266.910000000382</v>
      </c>
      <c r="F136" s="55">
        <f t="shared" si="48"/>
        <v>0</v>
      </c>
      <c r="G136" s="55">
        <f t="shared" si="49"/>
        <v>17633.455000000191</v>
      </c>
      <c r="H136" s="436">
        <f t="shared" si="50"/>
        <v>37635.41292416503</v>
      </c>
      <c r="I136" s="437">
        <f t="shared" si="51"/>
        <v>37635.41292416503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2055</v>
      </c>
      <c r="D137" s="12">
        <f>IF(F136+SUM(E$99:E136)=D$92,F136,D$92-SUM(E$99:E136))</f>
        <v>0</v>
      </c>
      <c r="E137" s="354">
        <f t="shared" si="47"/>
        <v>0</v>
      </c>
      <c r="F137" s="55">
        <f t="shared" si="48"/>
        <v>0</v>
      </c>
      <c r="G137" s="55">
        <f t="shared" si="49"/>
        <v>0</v>
      </c>
      <c r="H137" s="436">
        <f t="shared" si="50"/>
        <v>0</v>
      </c>
      <c r="I137" s="437">
        <f t="shared" si="51"/>
        <v>0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47"/>
        <v>0</v>
      </c>
      <c r="F138" s="55">
        <f t="shared" si="48"/>
        <v>0</v>
      </c>
      <c r="G138" s="55">
        <f t="shared" si="49"/>
        <v>0</v>
      </c>
      <c r="H138" s="436">
        <f t="shared" si="50"/>
        <v>0</v>
      </c>
      <c r="I138" s="437">
        <f t="shared" si="51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47"/>
        <v>0</v>
      </c>
      <c r="F139" s="55">
        <f t="shared" si="48"/>
        <v>0</v>
      </c>
      <c r="G139" s="55">
        <f t="shared" si="49"/>
        <v>0</v>
      </c>
      <c r="H139" s="436">
        <f t="shared" si="50"/>
        <v>0</v>
      </c>
      <c r="I139" s="437">
        <f t="shared" si="51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47"/>
        <v>0</v>
      </c>
      <c r="F140" s="55">
        <f t="shared" si="48"/>
        <v>0</v>
      </c>
      <c r="G140" s="55">
        <f t="shared" si="49"/>
        <v>0</v>
      </c>
      <c r="H140" s="436">
        <f t="shared" si="50"/>
        <v>0</v>
      </c>
      <c r="I140" s="437">
        <f t="shared" si="51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47"/>
        <v>0</v>
      </c>
      <c r="F141" s="55">
        <f t="shared" si="48"/>
        <v>0</v>
      </c>
      <c r="G141" s="55">
        <f t="shared" si="49"/>
        <v>0</v>
      </c>
      <c r="H141" s="436">
        <f t="shared" si="50"/>
        <v>0</v>
      </c>
      <c r="I141" s="437">
        <f t="shared" si="51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47"/>
        <v>0</v>
      </c>
      <c r="F142" s="55">
        <f t="shared" si="48"/>
        <v>0</v>
      </c>
      <c r="G142" s="55">
        <f t="shared" si="49"/>
        <v>0</v>
      </c>
      <c r="H142" s="436">
        <f t="shared" si="50"/>
        <v>0</v>
      </c>
      <c r="I142" s="437">
        <f t="shared" si="51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47"/>
        <v>0</v>
      </c>
      <c r="F143" s="55">
        <f t="shared" si="48"/>
        <v>0</v>
      </c>
      <c r="G143" s="55">
        <f t="shared" si="49"/>
        <v>0</v>
      </c>
      <c r="H143" s="436">
        <f t="shared" si="50"/>
        <v>0</v>
      </c>
      <c r="I143" s="437">
        <f t="shared" si="51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47"/>
        <v>0</v>
      </c>
      <c r="F144" s="55">
        <f t="shared" si="48"/>
        <v>0</v>
      </c>
      <c r="G144" s="55">
        <f t="shared" si="49"/>
        <v>0</v>
      </c>
      <c r="H144" s="436">
        <f t="shared" si="50"/>
        <v>0</v>
      </c>
      <c r="I144" s="437">
        <f t="shared" si="51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47"/>
        <v>0</v>
      </c>
      <c r="F145" s="55">
        <f t="shared" si="48"/>
        <v>0</v>
      </c>
      <c r="G145" s="55">
        <f t="shared" si="49"/>
        <v>0</v>
      </c>
      <c r="H145" s="436">
        <f t="shared" si="50"/>
        <v>0</v>
      </c>
      <c r="I145" s="437">
        <f t="shared" si="51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47"/>
        <v>0</v>
      </c>
      <c r="F146" s="55">
        <f t="shared" si="48"/>
        <v>0</v>
      </c>
      <c r="G146" s="55">
        <f t="shared" si="49"/>
        <v>0</v>
      </c>
      <c r="H146" s="436">
        <f t="shared" si="50"/>
        <v>0</v>
      </c>
      <c r="I146" s="437">
        <f t="shared" si="51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47"/>
        <v>0</v>
      </c>
      <c r="F147" s="55">
        <f t="shared" si="48"/>
        <v>0</v>
      </c>
      <c r="G147" s="55">
        <f t="shared" si="49"/>
        <v>0</v>
      </c>
      <c r="H147" s="436">
        <f t="shared" si="50"/>
        <v>0</v>
      </c>
      <c r="I147" s="437">
        <f t="shared" si="51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47"/>
        <v>0</v>
      </c>
      <c r="F148" s="55">
        <f t="shared" si="48"/>
        <v>0</v>
      </c>
      <c r="G148" s="55">
        <f t="shared" si="49"/>
        <v>0</v>
      </c>
      <c r="H148" s="436">
        <f t="shared" si="50"/>
        <v>0</v>
      </c>
      <c r="I148" s="437">
        <f t="shared" si="51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47"/>
        <v>0</v>
      </c>
      <c r="F149" s="55">
        <f t="shared" si="48"/>
        <v>0</v>
      </c>
      <c r="G149" s="55">
        <f t="shared" si="49"/>
        <v>0</v>
      </c>
      <c r="H149" s="436">
        <f t="shared" si="50"/>
        <v>0</v>
      </c>
      <c r="I149" s="437">
        <f t="shared" si="51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47"/>
        <v>0</v>
      </c>
      <c r="F150" s="55">
        <f t="shared" si="48"/>
        <v>0</v>
      </c>
      <c r="G150" s="55">
        <f t="shared" si="49"/>
        <v>0</v>
      </c>
      <c r="H150" s="436">
        <f t="shared" si="50"/>
        <v>0</v>
      </c>
      <c r="I150" s="437">
        <f t="shared" si="51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47"/>
        <v>0</v>
      </c>
      <c r="F151" s="55">
        <f t="shared" si="48"/>
        <v>0</v>
      </c>
      <c r="G151" s="55">
        <f t="shared" si="49"/>
        <v>0</v>
      </c>
      <c r="H151" s="436">
        <f t="shared" si="50"/>
        <v>0</v>
      </c>
      <c r="I151" s="437">
        <f t="shared" si="51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47"/>
        <v>0</v>
      </c>
      <c r="F152" s="55">
        <f t="shared" si="48"/>
        <v>0</v>
      </c>
      <c r="G152" s="55">
        <f t="shared" si="49"/>
        <v>0</v>
      </c>
      <c r="H152" s="436">
        <f t="shared" si="50"/>
        <v>0</v>
      </c>
      <c r="I152" s="437">
        <f t="shared" si="51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47"/>
        <v>0</v>
      </c>
      <c r="F153" s="55">
        <f t="shared" si="48"/>
        <v>0</v>
      </c>
      <c r="G153" s="55">
        <f t="shared" si="49"/>
        <v>0</v>
      </c>
      <c r="H153" s="436">
        <f t="shared" si="50"/>
        <v>0</v>
      </c>
      <c r="I153" s="437">
        <f t="shared" si="51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47"/>
        <v>0</v>
      </c>
      <c r="F154" s="59">
        <f t="shared" si="48"/>
        <v>0</v>
      </c>
      <c r="G154" s="59">
        <f t="shared" si="49"/>
        <v>0</v>
      </c>
      <c r="H154" s="438">
        <f t="shared" si="50"/>
        <v>0</v>
      </c>
      <c r="I154" s="439">
        <f t="shared" si="51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1338977.9100000004</v>
      </c>
      <c r="F155" s="267"/>
      <c r="G155" s="267"/>
      <c r="H155" s="267">
        <f>SUM(H99:H154)</f>
        <v>4558016.1526580816</v>
      </c>
      <c r="I155" s="267">
        <f>SUM(I99:I154)</f>
        <v>4558016.1526580816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/>
  <dimension ref="A1:V162"/>
  <sheetViews>
    <sheetView topLeftCell="A29" zoomScaleNormal="100" zoomScaleSheetLayoutView="78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20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240023.2072834204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240023.2072834204</v>
      </c>
      <c r="O6" s="1"/>
      <c r="P6" s="1"/>
    </row>
    <row r="7" spans="1:16" ht="13.5" thickBot="1">
      <c r="C7" s="26" t="s">
        <v>46</v>
      </c>
      <c r="D7" s="88" t="s">
        <v>282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297</v>
      </c>
      <c r="E9" s="404" t="s">
        <v>298</v>
      </c>
      <c r="F9" s="32"/>
      <c r="G9" s="452" t="s">
        <v>406</v>
      </c>
      <c r="H9" s="32"/>
      <c r="I9" s="33"/>
      <c r="J9" s="34"/>
      <c r="P9" s="1"/>
    </row>
    <row r="10" spans="1:16" ht="13">
      <c r="C10" s="128" t="s">
        <v>226</v>
      </c>
      <c r="D10" s="336">
        <v>1961220.7100000002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51611.071315789479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v>2017</v>
      </c>
      <c r="D17" s="411">
        <v>0</v>
      </c>
      <c r="E17" s="433">
        <v>0</v>
      </c>
      <c r="F17" s="411">
        <v>483000</v>
      </c>
      <c r="G17" s="433">
        <v>30733</v>
      </c>
      <c r="H17" s="414">
        <v>30733</v>
      </c>
      <c r="I17" s="52">
        <f t="shared" ref="I17:I72" si="0">H17-G17</f>
        <v>0</v>
      </c>
      <c r="J17" s="52"/>
      <c r="K17" s="53">
        <f t="shared" ref="K17:K22" si="1">+G17</f>
        <v>30733</v>
      </c>
      <c r="L17" s="53">
        <f t="shared" ref="L17:L72" si="2">IF(K17&lt;&gt;0,+G17-K17,0)</f>
        <v>0</v>
      </c>
      <c r="M17" s="53">
        <f t="shared" ref="M17:M22" si="3">+H17</f>
        <v>30733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483000</v>
      </c>
      <c r="E18" s="412">
        <v>10555.555555555555</v>
      </c>
      <c r="F18" s="411">
        <v>1140000</v>
      </c>
      <c r="G18" s="412">
        <v>78818.151758984837</v>
      </c>
      <c r="H18" s="414">
        <v>78818.151758984837</v>
      </c>
      <c r="I18" s="52">
        <f t="shared" si="0"/>
        <v>0</v>
      </c>
      <c r="J18" s="52"/>
      <c r="K18" s="54">
        <f t="shared" si="1"/>
        <v>78818.151758984837</v>
      </c>
      <c r="L18" s="54">
        <f t="shared" si="2"/>
        <v>0</v>
      </c>
      <c r="M18" s="54">
        <f t="shared" si="3"/>
        <v>78818.151758984837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2019</v>
      </c>
      <c r="D19" s="411">
        <v>1129444.4444444445</v>
      </c>
      <c r="E19" s="412">
        <v>28500</v>
      </c>
      <c r="F19" s="411">
        <v>1100944.4444444445</v>
      </c>
      <c r="G19" s="412">
        <v>153018.85490841107</v>
      </c>
      <c r="H19" s="414">
        <v>153018.85490841107</v>
      </c>
      <c r="I19" s="52">
        <f t="shared" si="0"/>
        <v>0</v>
      </c>
      <c r="J19" s="52"/>
      <c r="K19" s="54">
        <f t="shared" si="1"/>
        <v>153018.85490841107</v>
      </c>
      <c r="L19" s="54">
        <f t="shared" ref="L19" si="6">IF(K19&lt;&gt;0,+G19-K19,0)</f>
        <v>0</v>
      </c>
      <c r="M19" s="54">
        <f t="shared" si="3"/>
        <v>153018.85490841107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1883840.111111111</v>
      </c>
      <c r="E20" s="412">
        <v>45707.833333333336</v>
      </c>
      <c r="F20" s="411">
        <v>1838132.2777777778</v>
      </c>
      <c r="G20" s="412">
        <v>246703.23209680832</v>
      </c>
      <c r="H20" s="414">
        <v>246703.23209680832</v>
      </c>
      <c r="I20" s="52">
        <f t="shared" si="0"/>
        <v>0</v>
      </c>
      <c r="J20" s="52"/>
      <c r="K20" s="54">
        <f t="shared" si="1"/>
        <v>246703.23209680832</v>
      </c>
      <c r="L20" s="54">
        <f t="shared" ref="L20" si="8">IF(K20&lt;&gt;0,+G20-K20,0)</f>
        <v>0</v>
      </c>
      <c r="M20" s="54">
        <f t="shared" si="3"/>
        <v>246703.23209680832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1876457.611111111</v>
      </c>
      <c r="E21" s="412">
        <v>45609.79069767442</v>
      </c>
      <c r="F21" s="411">
        <v>1830847.8204134365</v>
      </c>
      <c r="G21" s="412">
        <v>245473.68855677257</v>
      </c>
      <c r="H21" s="414">
        <v>245473.68855677257</v>
      </c>
      <c r="I21" s="52">
        <f t="shared" si="0"/>
        <v>0</v>
      </c>
      <c r="J21" s="52"/>
      <c r="K21" s="54">
        <f t="shared" si="1"/>
        <v>245473.68855677257</v>
      </c>
      <c r="L21" s="54">
        <f t="shared" ref="L21" si="9">IF(K21&lt;&gt;0,+G21-K21,0)</f>
        <v>0</v>
      </c>
      <c r="M21" s="54">
        <f t="shared" si="3"/>
        <v>245473.68855677257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1830847.8204134365</v>
      </c>
      <c r="E22" s="412">
        <v>46695.738095238092</v>
      </c>
      <c r="F22" s="411">
        <v>1784152.0823181984</v>
      </c>
      <c r="G22" s="412">
        <v>241564.55964853393</v>
      </c>
      <c r="H22" s="414">
        <v>241564.55964853393</v>
      </c>
      <c r="I22" s="52">
        <f t="shared" si="0"/>
        <v>0</v>
      </c>
      <c r="J22" s="52"/>
      <c r="K22" s="54">
        <f t="shared" si="1"/>
        <v>241564.55964853393</v>
      </c>
      <c r="L22" s="54">
        <f t="shared" ref="L22" si="10">IF(K22&lt;&gt;0,+G22-K22,0)</f>
        <v>0</v>
      </c>
      <c r="M22" s="54">
        <f t="shared" si="3"/>
        <v>241564.55964853393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1784151.7923181988</v>
      </c>
      <c r="E23" s="412">
        <v>50287.710512820515</v>
      </c>
      <c r="F23" s="411">
        <v>1733864.0818053782</v>
      </c>
      <c r="G23" s="412">
        <v>260241.05207749119</v>
      </c>
      <c r="H23" s="414">
        <v>260241.05207749119</v>
      </c>
      <c r="I23" s="52">
        <f t="shared" si="0"/>
        <v>0</v>
      </c>
      <c r="J23" s="52"/>
      <c r="K23" s="54">
        <f t="shared" ref="K23" si="11">+G23</f>
        <v>260241.05207749119</v>
      </c>
      <c r="L23" s="54">
        <f t="shared" ref="L23" si="12">IF(K23&lt;&gt;0,+G23-K23,0)</f>
        <v>0</v>
      </c>
      <c r="M23" s="54">
        <f t="shared" ref="M23" si="13">+H23</f>
        <v>260241.05207749119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50">
        <f>IF(D11="","-",+C23+1)</f>
        <v>2024</v>
      </c>
      <c r="D24" s="411">
        <v>1733864.0818053782</v>
      </c>
      <c r="E24" s="412">
        <v>51611.071315789479</v>
      </c>
      <c r="F24" s="411">
        <v>1682253.0104895886</v>
      </c>
      <c r="G24" s="412">
        <v>245885.97075152432</v>
      </c>
      <c r="H24" s="414">
        <v>245885.97075152432</v>
      </c>
      <c r="I24" s="52">
        <f t="shared" si="0"/>
        <v>0</v>
      </c>
      <c r="J24" s="52"/>
      <c r="K24" s="54">
        <f t="shared" ref="K24" si="16">+G24</f>
        <v>245885.97075152432</v>
      </c>
      <c r="L24" s="54">
        <f t="shared" ref="L24" si="17">IF(K24&lt;&gt;0,+G24-K24,0)</f>
        <v>0</v>
      </c>
      <c r="M24" s="54">
        <f t="shared" ref="M24" si="18">+H24</f>
        <v>245885.97075152432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49">
        <f>IF(D11="","-",+C24+1)</f>
        <v>2025</v>
      </c>
      <c r="D25" s="411">
        <v>1682253.0104895886</v>
      </c>
      <c r="E25" s="412">
        <v>51611.071315789479</v>
      </c>
      <c r="F25" s="411">
        <v>1630641.939173799</v>
      </c>
      <c r="G25" s="412">
        <v>239794.26173878013</v>
      </c>
      <c r="H25" s="414">
        <v>239794.26173878013</v>
      </c>
      <c r="I25" s="52">
        <f t="shared" si="0"/>
        <v>0</v>
      </c>
      <c r="J25" s="52"/>
      <c r="K25" s="54">
        <f t="shared" ref="K25" si="21">+G25</f>
        <v>239794.26173878013</v>
      </c>
      <c r="L25" s="54">
        <f t="shared" ref="L25" si="22">IF(K25&lt;&gt;0,+G25-K25,0)</f>
        <v>0</v>
      </c>
      <c r="M25" s="54">
        <f t="shared" ref="M25" si="23">+H25</f>
        <v>239794.26173878013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1630641.939173799</v>
      </c>
      <c r="E26" s="354">
        <f t="shared" ref="E26:E72" si="26">IF(+I$14&lt;F25,I$14,D26)</f>
        <v>51611.071315789479</v>
      </c>
      <c r="F26" s="55">
        <f t="shared" ref="F26:F72" si="27">+D26-E26</f>
        <v>1579030.8678580094</v>
      </c>
      <c r="G26" s="355">
        <f t="shared" ref="G26:G72" si="28">(D26+F26)/2*I$12+E26</f>
        <v>240023.2072834204</v>
      </c>
      <c r="H26" s="337">
        <f t="shared" ref="H26:H72" si="29">+(D26+F26)/2*I$13+E26</f>
        <v>240023.2072834204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1579030.8678580094</v>
      </c>
      <c r="E27" s="354">
        <f t="shared" si="26"/>
        <v>51611.071315789479</v>
      </c>
      <c r="F27" s="55">
        <f t="shared" si="27"/>
        <v>1527419.7965422198</v>
      </c>
      <c r="G27" s="355">
        <f t="shared" si="28"/>
        <v>233963.92786722459</v>
      </c>
      <c r="H27" s="337">
        <f t="shared" si="29"/>
        <v>233963.92786722459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1527419.7965422198</v>
      </c>
      <c r="E28" s="354">
        <f t="shared" si="26"/>
        <v>51611.071315789479</v>
      </c>
      <c r="F28" s="55">
        <f t="shared" si="27"/>
        <v>1475808.7252264302</v>
      </c>
      <c r="G28" s="355">
        <f t="shared" si="28"/>
        <v>227904.64845102877</v>
      </c>
      <c r="H28" s="337">
        <f t="shared" si="29"/>
        <v>227904.64845102877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1475808.7252264302</v>
      </c>
      <c r="E29" s="354">
        <f t="shared" si="26"/>
        <v>51611.071315789479</v>
      </c>
      <c r="F29" s="55">
        <f t="shared" si="27"/>
        <v>1424197.6539106406</v>
      </c>
      <c r="G29" s="355">
        <f t="shared" si="28"/>
        <v>221845.36903483293</v>
      </c>
      <c r="H29" s="337">
        <f t="shared" si="29"/>
        <v>221845.36903483293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1424197.6539106406</v>
      </c>
      <c r="E30" s="354">
        <f t="shared" si="26"/>
        <v>51611.071315789479</v>
      </c>
      <c r="F30" s="55">
        <f t="shared" si="27"/>
        <v>1372586.582594851</v>
      </c>
      <c r="G30" s="355">
        <f t="shared" si="28"/>
        <v>215786.08961863711</v>
      </c>
      <c r="H30" s="337">
        <f t="shared" si="29"/>
        <v>215786.08961863711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1372586.582594851</v>
      </c>
      <c r="E31" s="354">
        <f t="shared" si="26"/>
        <v>51611.071315789479</v>
      </c>
      <c r="F31" s="55">
        <f t="shared" si="27"/>
        <v>1320975.5112790614</v>
      </c>
      <c r="G31" s="355">
        <f t="shared" si="28"/>
        <v>209726.81020244129</v>
      </c>
      <c r="H31" s="337">
        <f t="shared" si="29"/>
        <v>209726.81020244129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1320975.5112790614</v>
      </c>
      <c r="E32" s="354">
        <f t="shared" si="26"/>
        <v>51611.071315789479</v>
      </c>
      <c r="F32" s="55">
        <f t="shared" si="27"/>
        <v>1269364.4399632718</v>
      </c>
      <c r="G32" s="355">
        <f t="shared" si="28"/>
        <v>203667.53078624548</v>
      </c>
      <c r="H32" s="337">
        <f t="shared" si="29"/>
        <v>203667.53078624548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1269364.4399632718</v>
      </c>
      <c r="E33" s="354">
        <f t="shared" si="26"/>
        <v>51611.071315789479</v>
      </c>
      <c r="F33" s="55">
        <f t="shared" si="27"/>
        <v>1217753.3686474822</v>
      </c>
      <c r="G33" s="355">
        <f t="shared" si="28"/>
        <v>197608.25137004966</v>
      </c>
      <c r="H33" s="337">
        <f t="shared" si="29"/>
        <v>197608.25137004966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1217753.3686474822</v>
      </c>
      <c r="E34" s="354">
        <f t="shared" si="26"/>
        <v>51611.071315789479</v>
      </c>
      <c r="F34" s="55">
        <f t="shared" si="27"/>
        <v>1166142.2973316927</v>
      </c>
      <c r="G34" s="355">
        <f t="shared" si="28"/>
        <v>191548.97195385385</v>
      </c>
      <c r="H34" s="337">
        <f t="shared" si="29"/>
        <v>191548.97195385385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1166142.2973316927</v>
      </c>
      <c r="E35" s="354">
        <f t="shared" si="26"/>
        <v>51611.071315789479</v>
      </c>
      <c r="F35" s="55">
        <f t="shared" si="27"/>
        <v>1114531.2260159031</v>
      </c>
      <c r="G35" s="355">
        <f t="shared" si="28"/>
        <v>185489.69253765803</v>
      </c>
      <c r="H35" s="337">
        <f t="shared" si="29"/>
        <v>185489.69253765803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1114531.2260159031</v>
      </c>
      <c r="E36" s="354">
        <f t="shared" si="26"/>
        <v>51611.071315789479</v>
      </c>
      <c r="F36" s="55">
        <f t="shared" si="27"/>
        <v>1062920.1547001135</v>
      </c>
      <c r="G36" s="355">
        <f t="shared" si="28"/>
        <v>179430.41312146222</v>
      </c>
      <c r="H36" s="337">
        <f t="shared" si="29"/>
        <v>179430.41312146222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1062920.1547001135</v>
      </c>
      <c r="E37" s="354">
        <f t="shared" si="26"/>
        <v>51611.071315789479</v>
      </c>
      <c r="F37" s="55">
        <f t="shared" si="27"/>
        <v>1011309.083384324</v>
      </c>
      <c r="G37" s="355">
        <f t="shared" si="28"/>
        <v>173371.1337052664</v>
      </c>
      <c r="H37" s="337">
        <f t="shared" si="29"/>
        <v>173371.1337052664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1011309.083384324</v>
      </c>
      <c r="E38" s="354">
        <f t="shared" si="26"/>
        <v>51611.071315789479</v>
      </c>
      <c r="F38" s="55">
        <f t="shared" si="27"/>
        <v>959698.0120685345</v>
      </c>
      <c r="G38" s="355">
        <f t="shared" si="28"/>
        <v>167311.85428907059</v>
      </c>
      <c r="H38" s="337">
        <f t="shared" si="29"/>
        <v>167311.85428907059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959698.0120685345</v>
      </c>
      <c r="E39" s="354">
        <f t="shared" si="26"/>
        <v>51611.071315789479</v>
      </c>
      <c r="F39" s="55">
        <f t="shared" si="27"/>
        <v>908086.94075274502</v>
      </c>
      <c r="G39" s="355">
        <f t="shared" si="28"/>
        <v>161252.57487287477</v>
      </c>
      <c r="H39" s="337">
        <f t="shared" si="29"/>
        <v>161252.57487287477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908086.94075274502</v>
      </c>
      <c r="E40" s="354">
        <f t="shared" si="26"/>
        <v>51611.071315789479</v>
      </c>
      <c r="F40" s="55">
        <f t="shared" si="27"/>
        <v>856475.86943695555</v>
      </c>
      <c r="G40" s="355">
        <f t="shared" si="28"/>
        <v>155193.29545667898</v>
      </c>
      <c r="H40" s="337">
        <f t="shared" si="29"/>
        <v>155193.29545667898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856475.86943695555</v>
      </c>
      <c r="E41" s="354">
        <f t="shared" si="26"/>
        <v>51611.071315789479</v>
      </c>
      <c r="F41" s="55">
        <f t="shared" si="27"/>
        <v>804864.79812116607</v>
      </c>
      <c r="G41" s="355">
        <f t="shared" si="28"/>
        <v>149134.01604048317</v>
      </c>
      <c r="H41" s="337">
        <f t="shared" si="29"/>
        <v>149134.01604048317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804864.79812116607</v>
      </c>
      <c r="E42" s="354">
        <f t="shared" si="26"/>
        <v>51611.071315789479</v>
      </c>
      <c r="F42" s="55">
        <f t="shared" si="27"/>
        <v>753253.72680537659</v>
      </c>
      <c r="G42" s="355">
        <f t="shared" si="28"/>
        <v>143074.73662428738</v>
      </c>
      <c r="H42" s="337">
        <f t="shared" si="29"/>
        <v>143074.73662428738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753253.72680537659</v>
      </c>
      <c r="E43" s="354">
        <f t="shared" si="26"/>
        <v>51611.071315789479</v>
      </c>
      <c r="F43" s="55">
        <f t="shared" si="27"/>
        <v>701642.65548958711</v>
      </c>
      <c r="G43" s="355">
        <f t="shared" si="28"/>
        <v>137015.45720809157</v>
      </c>
      <c r="H43" s="337">
        <f t="shared" si="29"/>
        <v>137015.45720809157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701642.65548958711</v>
      </c>
      <c r="E44" s="354">
        <f t="shared" si="26"/>
        <v>51611.071315789479</v>
      </c>
      <c r="F44" s="55">
        <f t="shared" si="27"/>
        <v>650031.58417379763</v>
      </c>
      <c r="G44" s="355">
        <f t="shared" si="28"/>
        <v>130956.17779189577</v>
      </c>
      <c r="H44" s="337">
        <f t="shared" si="29"/>
        <v>130956.17779189577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650031.58417379763</v>
      </c>
      <c r="E45" s="354">
        <f t="shared" si="26"/>
        <v>51611.071315789479</v>
      </c>
      <c r="F45" s="55">
        <f t="shared" si="27"/>
        <v>598420.51285800815</v>
      </c>
      <c r="G45" s="355">
        <f t="shared" si="28"/>
        <v>124896.89837569995</v>
      </c>
      <c r="H45" s="337">
        <f t="shared" si="29"/>
        <v>124896.89837569995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598420.51285800815</v>
      </c>
      <c r="E46" s="354">
        <f t="shared" si="26"/>
        <v>51611.071315789479</v>
      </c>
      <c r="F46" s="55">
        <f t="shared" si="27"/>
        <v>546809.44154221867</v>
      </c>
      <c r="G46" s="355">
        <f t="shared" si="28"/>
        <v>118837.61895950417</v>
      </c>
      <c r="H46" s="337">
        <f t="shared" si="29"/>
        <v>118837.61895950417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546809.44154221867</v>
      </c>
      <c r="E47" s="354">
        <f t="shared" si="26"/>
        <v>51611.071315789479</v>
      </c>
      <c r="F47" s="55">
        <f t="shared" si="27"/>
        <v>495198.37022642919</v>
      </c>
      <c r="G47" s="355">
        <f t="shared" si="28"/>
        <v>112778.33954330835</v>
      </c>
      <c r="H47" s="337">
        <f t="shared" si="29"/>
        <v>112778.33954330835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495198.37022642919</v>
      </c>
      <c r="E48" s="354">
        <f t="shared" si="26"/>
        <v>51611.071315789479</v>
      </c>
      <c r="F48" s="55">
        <f t="shared" si="27"/>
        <v>443587.29891063971</v>
      </c>
      <c r="G48" s="355">
        <f t="shared" si="28"/>
        <v>106719.06012711255</v>
      </c>
      <c r="H48" s="337">
        <f t="shared" si="29"/>
        <v>106719.06012711255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443587.29891063971</v>
      </c>
      <c r="E49" s="354">
        <f t="shared" si="26"/>
        <v>51611.071315789479</v>
      </c>
      <c r="F49" s="55">
        <f t="shared" si="27"/>
        <v>391976.22759485024</v>
      </c>
      <c r="G49" s="355">
        <f t="shared" si="28"/>
        <v>100659.78071091673</v>
      </c>
      <c r="H49" s="337">
        <f t="shared" si="29"/>
        <v>100659.78071091673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22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391976.22759485024</v>
      </c>
      <c r="E50" s="354">
        <f t="shared" si="26"/>
        <v>51611.071315789479</v>
      </c>
      <c r="F50" s="55">
        <f t="shared" si="27"/>
        <v>340365.15627906076</v>
      </c>
      <c r="G50" s="355">
        <f t="shared" si="28"/>
        <v>94600.501294720932</v>
      </c>
      <c r="H50" s="337">
        <f t="shared" si="29"/>
        <v>94600.501294720932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22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340365.15627906076</v>
      </c>
      <c r="E51" s="354">
        <f t="shared" si="26"/>
        <v>51611.071315789479</v>
      </c>
      <c r="F51" s="55">
        <f t="shared" si="27"/>
        <v>288754.08496327128</v>
      </c>
      <c r="G51" s="355">
        <f t="shared" si="28"/>
        <v>88541.221878525132</v>
      </c>
      <c r="H51" s="337">
        <f t="shared" si="29"/>
        <v>88541.221878525132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288754.08496327128</v>
      </c>
      <c r="E52" s="354">
        <f t="shared" si="26"/>
        <v>51611.071315789479</v>
      </c>
      <c r="F52" s="55">
        <f t="shared" si="27"/>
        <v>237143.0136474818</v>
      </c>
      <c r="G52" s="355">
        <f t="shared" si="28"/>
        <v>82481.942462329331</v>
      </c>
      <c r="H52" s="337">
        <f t="shared" si="29"/>
        <v>82481.942462329331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22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237143.0136474818</v>
      </c>
      <c r="E53" s="354">
        <f t="shared" si="26"/>
        <v>51611.071315789479</v>
      </c>
      <c r="F53" s="55">
        <f t="shared" si="27"/>
        <v>185531.94233169232</v>
      </c>
      <c r="G53" s="355">
        <f t="shared" si="28"/>
        <v>76422.66304613353</v>
      </c>
      <c r="H53" s="337">
        <f t="shared" si="29"/>
        <v>76422.66304613353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22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185531.94233169232</v>
      </c>
      <c r="E54" s="354">
        <f t="shared" si="26"/>
        <v>51611.071315789479</v>
      </c>
      <c r="F54" s="55">
        <f t="shared" si="27"/>
        <v>133920.87101590284</v>
      </c>
      <c r="G54" s="355">
        <f t="shared" si="28"/>
        <v>70363.383629937714</v>
      </c>
      <c r="H54" s="337">
        <f t="shared" si="29"/>
        <v>70363.383629937714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22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133920.87101590284</v>
      </c>
      <c r="E55" s="354">
        <f t="shared" si="26"/>
        <v>51611.071315789479</v>
      </c>
      <c r="F55" s="55">
        <f t="shared" si="27"/>
        <v>82309.799700113363</v>
      </c>
      <c r="G55" s="355">
        <f t="shared" si="28"/>
        <v>64304.104213741914</v>
      </c>
      <c r="H55" s="337">
        <f t="shared" si="29"/>
        <v>64304.104213741914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22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82309.799700113363</v>
      </c>
      <c r="E56" s="354">
        <f t="shared" si="26"/>
        <v>51611.071315789479</v>
      </c>
      <c r="F56" s="55">
        <f t="shared" si="27"/>
        <v>30698.728384323884</v>
      </c>
      <c r="G56" s="355">
        <f t="shared" si="28"/>
        <v>58244.824797546105</v>
      </c>
      <c r="H56" s="337">
        <f t="shared" si="29"/>
        <v>58244.824797546105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22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30698.728384323884</v>
      </c>
      <c r="E57" s="354">
        <f t="shared" si="26"/>
        <v>30698.728384323884</v>
      </c>
      <c r="F57" s="55">
        <f t="shared" si="27"/>
        <v>0</v>
      </c>
      <c r="G57" s="355">
        <f t="shared" si="28"/>
        <v>32500.785271153247</v>
      </c>
      <c r="H57" s="337">
        <f t="shared" si="29"/>
        <v>32500.785271153247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22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6"/>
        <v>0</v>
      </c>
      <c r="F58" s="55">
        <f t="shared" si="27"/>
        <v>0</v>
      </c>
      <c r="G58" s="355">
        <f t="shared" si="28"/>
        <v>0</v>
      </c>
      <c r="H58" s="337">
        <f t="shared" si="29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22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6"/>
        <v>0</v>
      </c>
      <c r="F59" s="55">
        <f t="shared" si="27"/>
        <v>0</v>
      </c>
      <c r="G59" s="355">
        <f t="shared" si="28"/>
        <v>0</v>
      </c>
      <c r="H59" s="337">
        <f t="shared" si="29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22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6"/>
        <v>0</v>
      </c>
      <c r="F60" s="55">
        <f t="shared" si="27"/>
        <v>0</v>
      </c>
      <c r="G60" s="355">
        <f t="shared" si="28"/>
        <v>0</v>
      </c>
      <c r="H60" s="337">
        <f t="shared" si="29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22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6"/>
        <v>0</v>
      </c>
      <c r="F61" s="55">
        <f t="shared" si="27"/>
        <v>0</v>
      </c>
      <c r="G61" s="355">
        <f t="shared" si="28"/>
        <v>0</v>
      </c>
      <c r="H61" s="337">
        <f t="shared" si="29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22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6"/>
        <v>0</v>
      </c>
      <c r="F62" s="55">
        <f t="shared" si="27"/>
        <v>0</v>
      </c>
      <c r="G62" s="355">
        <f t="shared" si="28"/>
        <v>0</v>
      </c>
      <c r="H62" s="337">
        <f t="shared" si="29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22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6"/>
        <v>0</v>
      </c>
      <c r="F63" s="55">
        <f t="shared" si="27"/>
        <v>0</v>
      </c>
      <c r="G63" s="355">
        <f t="shared" si="28"/>
        <v>0</v>
      </c>
      <c r="H63" s="337">
        <f t="shared" si="29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22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6"/>
        <v>0</v>
      </c>
      <c r="F64" s="55">
        <f t="shared" si="27"/>
        <v>0</v>
      </c>
      <c r="G64" s="355">
        <f t="shared" si="28"/>
        <v>0</v>
      </c>
      <c r="H64" s="337">
        <f t="shared" si="29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6"/>
        <v>0</v>
      </c>
      <c r="F65" s="55">
        <f t="shared" si="27"/>
        <v>0</v>
      </c>
      <c r="G65" s="355">
        <f t="shared" si="28"/>
        <v>0</v>
      </c>
      <c r="H65" s="337">
        <f t="shared" si="29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6"/>
        <v>0</v>
      </c>
      <c r="F66" s="55">
        <f t="shared" si="27"/>
        <v>0</v>
      </c>
      <c r="G66" s="355">
        <f t="shared" si="28"/>
        <v>0</v>
      </c>
      <c r="H66" s="337">
        <f t="shared" si="29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6"/>
        <v>0</v>
      </c>
      <c r="F67" s="55">
        <f t="shared" si="27"/>
        <v>0</v>
      </c>
      <c r="G67" s="355">
        <f t="shared" si="28"/>
        <v>0</v>
      </c>
      <c r="H67" s="337">
        <f t="shared" si="29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6"/>
        <v>0</v>
      </c>
      <c r="F68" s="55">
        <f t="shared" si="27"/>
        <v>0</v>
      </c>
      <c r="G68" s="355">
        <f t="shared" si="28"/>
        <v>0</v>
      </c>
      <c r="H68" s="337">
        <f t="shared" si="29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6"/>
        <v>0</v>
      </c>
      <c r="F69" s="55">
        <f t="shared" si="27"/>
        <v>0</v>
      </c>
      <c r="G69" s="355">
        <f t="shared" si="28"/>
        <v>0</v>
      </c>
      <c r="H69" s="337">
        <f t="shared" si="29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6"/>
        <v>0</v>
      </c>
      <c r="F70" s="55">
        <f t="shared" si="27"/>
        <v>0</v>
      </c>
      <c r="G70" s="355">
        <f t="shared" si="28"/>
        <v>0</v>
      </c>
      <c r="H70" s="337">
        <f t="shared" si="29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6"/>
        <v>0</v>
      </c>
      <c r="F71" s="55">
        <f t="shared" si="27"/>
        <v>0</v>
      </c>
      <c r="G71" s="355">
        <f t="shared" si="28"/>
        <v>0</v>
      </c>
      <c r="H71" s="337">
        <f t="shared" si="29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6"/>
        <v>0</v>
      </c>
      <c r="F72" s="59">
        <f t="shared" si="27"/>
        <v>0</v>
      </c>
      <c r="G72" s="382">
        <f t="shared" si="28"/>
        <v>0</v>
      </c>
      <c r="H72" s="335">
        <f t="shared" si="29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7"/>
      <c r="E73" s="267">
        <f>SUM(E17:E72)</f>
        <v>1961220.7100000004</v>
      </c>
      <c r="F73" s="267"/>
      <c r="G73" s="267">
        <f>SUM(G17:G72)</f>
        <v>6397888.0540634394</v>
      </c>
      <c r="H73" s="267">
        <f>SUM(H17:H72)</f>
        <v>6397888.0540634394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20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245885.97075152432</v>
      </c>
      <c r="N87" s="364">
        <f>IF(J92&lt;D11,0,VLOOKUP(J92,C17:O72,11))</f>
        <v>245885.97075152432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278909.9843318999</v>
      </c>
      <c r="N88" s="367">
        <f>IF(J92&lt;D11,0,VLOOKUP(J92,C99:P154,7))</f>
        <v>278909.9843318999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Sayre 138 kV Capacitor Bank Addition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33024.013580375584</v>
      </c>
      <c r="N89" s="369">
        <f>+N88-N87</f>
        <v>33024.013580375584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TP2015202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1961221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53006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2018</v>
      </c>
      <c r="D99" s="411">
        <v>0</v>
      </c>
      <c r="E99" s="433">
        <v>0</v>
      </c>
      <c r="F99" s="411">
        <v>1140000</v>
      </c>
      <c r="G99" s="433">
        <v>570000</v>
      </c>
      <c r="H99" s="414">
        <v>72305.937255510624</v>
      </c>
      <c r="I99" s="432">
        <v>72305.937255510624</v>
      </c>
      <c r="J99" s="54">
        <f t="shared" ref="J99:J130" si="30">+I99-H99</f>
        <v>0</v>
      </c>
      <c r="K99" s="54"/>
      <c r="L99" s="53">
        <f>+H99</f>
        <v>72305.937255510624</v>
      </c>
      <c r="M99" s="53">
        <f t="shared" ref="M99:M130" si="31">IF(L99&lt;&gt;0,+H99-L99,0)</f>
        <v>0</v>
      </c>
      <c r="N99" s="53">
        <f>+I99</f>
        <v>72305.937255510624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05">
        <v>1961221</v>
      </c>
      <c r="E100" s="406">
        <v>47835</v>
      </c>
      <c r="F100" s="405">
        <v>1913386</v>
      </c>
      <c r="G100" s="406">
        <v>1937303.5</v>
      </c>
      <c r="H100" s="428">
        <v>247598.16362509641</v>
      </c>
      <c r="I100" s="405">
        <v>247598.16362509641</v>
      </c>
      <c r="J100" s="54">
        <f t="shared" si="30"/>
        <v>0</v>
      </c>
      <c r="K100" s="54"/>
      <c r="L100" s="324">
        <f>H100</f>
        <v>247598.16362509641</v>
      </c>
      <c r="M100" s="63">
        <f>IF(L100&lt;&gt;0,+H100-L100,0)</f>
        <v>0</v>
      </c>
      <c r="N100" s="324">
        <f>I100</f>
        <v>247598.16362509641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2020</v>
      </c>
      <c r="D101" s="405">
        <v>1913386</v>
      </c>
      <c r="E101" s="406">
        <v>45610</v>
      </c>
      <c r="F101" s="405">
        <v>1867776</v>
      </c>
      <c r="G101" s="406">
        <v>1890581</v>
      </c>
      <c r="H101" s="428">
        <v>263588.79157611891</v>
      </c>
      <c r="I101" s="405">
        <v>263588.79157611891</v>
      </c>
      <c r="J101" s="54">
        <f t="shared" si="30"/>
        <v>0</v>
      </c>
      <c r="K101" s="54"/>
      <c r="L101" s="324">
        <f>H101</f>
        <v>263588.79157611891</v>
      </c>
      <c r="M101" s="63">
        <f>IF(L101&lt;&gt;0,+H101-L101,0)</f>
        <v>0</v>
      </c>
      <c r="N101" s="324">
        <f>I101</f>
        <v>263588.79157611891</v>
      </c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2021</v>
      </c>
      <c r="D102" s="405">
        <v>1867776</v>
      </c>
      <c r="E102" s="406">
        <v>47835</v>
      </c>
      <c r="F102" s="405">
        <v>1819941</v>
      </c>
      <c r="G102" s="406">
        <v>1843858.5</v>
      </c>
      <c r="H102" s="428">
        <v>257652.80866980529</v>
      </c>
      <c r="I102" s="405">
        <v>257652.80866980529</v>
      </c>
      <c r="J102" s="54">
        <f t="shared" si="30"/>
        <v>0</v>
      </c>
      <c r="K102" s="54"/>
      <c r="L102" s="324">
        <f>H102</f>
        <v>257652.80866980529</v>
      </c>
      <c r="M102" s="63">
        <f>IF(L102&lt;&gt;0,+H102-L102,0)</f>
        <v>0</v>
      </c>
      <c r="N102" s="324">
        <f>I102</f>
        <v>257652.80866980529</v>
      </c>
      <c r="O102" s="54">
        <f t="shared" ref="O102" si="35">IF(N102&lt;&gt;0,+I102-N102,0)</f>
        <v>0</v>
      </c>
      <c r="P102" s="54">
        <f t="shared" ref="P102" si="36">+O102-M102</f>
        <v>0</v>
      </c>
    </row>
    <row r="103" spans="1:16" ht="12.5">
      <c r="B103" s="7" t="str">
        <f t="shared" si="34"/>
        <v/>
      </c>
      <c r="C103" s="450">
        <f>IF(D93="","-",+C102+1)</f>
        <v>2022</v>
      </c>
      <c r="D103" s="405">
        <v>1819941</v>
      </c>
      <c r="E103" s="406">
        <v>50288</v>
      </c>
      <c r="F103" s="405">
        <v>1769653</v>
      </c>
      <c r="G103" s="406">
        <v>1794797</v>
      </c>
      <c r="H103" s="428">
        <v>248043.4948332576</v>
      </c>
      <c r="I103" s="405">
        <v>248043.4948332576</v>
      </c>
      <c r="J103" s="54">
        <f t="shared" si="30"/>
        <v>0</v>
      </c>
      <c r="K103" s="54"/>
      <c r="L103" s="324">
        <f t="shared" ref="L103:L104" si="37">H103</f>
        <v>248043.4948332576</v>
      </c>
      <c r="M103" s="63">
        <f t="shared" ref="M103:M104" si="38">IF(L103&lt;&gt;0,+H103-L103,0)</f>
        <v>0</v>
      </c>
      <c r="N103" s="324">
        <f t="shared" ref="N103:N104" si="39">I103</f>
        <v>248043.4948332576</v>
      </c>
      <c r="O103" s="54">
        <f t="shared" ref="O103:O104" si="40">IF(N103&lt;&gt;0,+I103-N103,0)</f>
        <v>0</v>
      </c>
      <c r="P103" s="54">
        <f t="shared" ref="P103:P104" si="41">+O103-M103</f>
        <v>0</v>
      </c>
    </row>
    <row r="104" spans="1:16" ht="12.5">
      <c r="B104" s="7" t="str">
        <f t="shared" si="34"/>
        <v/>
      </c>
      <c r="C104" s="50">
        <f>IF(D93="","-",+C103+1)</f>
        <v>2023</v>
      </c>
      <c r="D104" s="405">
        <v>1769653</v>
      </c>
      <c r="E104" s="406">
        <v>51611</v>
      </c>
      <c r="F104" s="405">
        <v>1718042</v>
      </c>
      <c r="G104" s="406">
        <v>1743847.5</v>
      </c>
      <c r="H104" s="428">
        <v>250805.56090312722</v>
      </c>
      <c r="I104" s="405">
        <v>250805.56090312722</v>
      </c>
      <c r="J104" s="54">
        <f t="shared" si="30"/>
        <v>0</v>
      </c>
      <c r="K104" s="54"/>
      <c r="L104" s="324">
        <f t="shared" si="37"/>
        <v>250805.56090312722</v>
      </c>
      <c r="M104" s="63">
        <f t="shared" si="38"/>
        <v>0</v>
      </c>
      <c r="N104" s="324">
        <f t="shared" si="39"/>
        <v>250805.56090312722</v>
      </c>
      <c r="O104" s="54">
        <f t="shared" si="40"/>
        <v>0</v>
      </c>
      <c r="P104" s="54">
        <f t="shared" si="41"/>
        <v>0</v>
      </c>
    </row>
    <row r="105" spans="1:16" ht="12.5">
      <c r="B105" s="7" t="str">
        <f t="shared" si="34"/>
        <v>IU</v>
      </c>
      <c r="C105" s="50">
        <f>IF(D93="","-",+C104+1)</f>
        <v>2024</v>
      </c>
      <c r="D105" s="405">
        <v>1718041.7100000002</v>
      </c>
      <c r="E105" s="406">
        <v>51611</v>
      </c>
      <c r="F105" s="405">
        <v>1666430.7100000002</v>
      </c>
      <c r="G105" s="406">
        <v>1692236.2100000002</v>
      </c>
      <c r="H105" s="428">
        <v>278909.9843318999</v>
      </c>
      <c r="I105" s="405">
        <v>278909.9843318999</v>
      </c>
      <c r="J105" s="54">
        <f t="shared" si="30"/>
        <v>0</v>
      </c>
      <c r="K105" s="54"/>
      <c r="L105" s="324">
        <f t="shared" ref="L105" si="42">H105</f>
        <v>278909.9843318999</v>
      </c>
      <c r="M105" s="63">
        <f t="shared" ref="M105" si="43">IF(L105&lt;&gt;0,+H105-L105,0)</f>
        <v>0</v>
      </c>
      <c r="N105" s="324">
        <f t="shared" ref="N105" si="44">I105</f>
        <v>278909.9843318999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2.5">
      <c r="B106" s="7" t="str">
        <f t="shared" si="34"/>
        <v>IU</v>
      </c>
      <c r="C106" s="50">
        <f>IF(D93="","-",+C105+1)</f>
        <v>2025</v>
      </c>
      <c r="D106" s="12">
        <f>IF(F105+SUM(E$99:E105)=D$92,F105,D$92-SUM(E$99:E105))</f>
        <v>1666431</v>
      </c>
      <c r="E106" s="354">
        <f t="shared" ref="E106:E154" si="47">IF(+J$96&lt;F105,J$96,D106)</f>
        <v>53006</v>
      </c>
      <c r="F106" s="55">
        <f t="shared" ref="F106:F154" si="48">+D106-E106</f>
        <v>1613425</v>
      </c>
      <c r="G106" s="55">
        <f t="shared" ref="G106:G154" si="49">+(F106+D106)/2</f>
        <v>1639928</v>
      </c>
      <c r="H106" s="436">
        <f t="shared" ref="H106:H154" si="50">+J$94*G106+E106</f>
        <v>273279.01305498241</v>
      </c>
      <c r="I106" s="437">
        <f t="shared" ref="I106:I154" si="51">+J$95*G106+E106</f>
        <v>273279.01305498241</v>
      </c>
      <c r="J106" s="54">
        <f t="shared" si="30"/>
        <v>0</v>
      </c>
      <c r="K106" s="54"/>
      <c r="L106" s="115"/>
      <c r="M106" s="54">
        <f t="shared" si="31"/>
        <v>0</v>
      </c>
      <c r="N106" s="115"/>
      <c r="O106" s="54">
        <f t="shared" si="32"/>
        <v>0</v>
      </c>
      <c r="P106" s="54">
        <f t="shared" si="33"/>
        <v>0</v>
      </c>
    </row>
    <row r="107" spans="1:16" ht="12.5">
      <c r="B107" s="7" t="str">
        <f t="shared" si="34"/>
        <v/>
      </c>
      <c r="C107" s="50">
        <f>IF(D93="","-",+C106+1)</f>
        <v>2026</v>
      </c>
      <c r="D107" s="12">
        <f>IF(F106+SUM(E$99:E106)=D$92,F106,D$92-SUM(E$99:E106))</f>
        <v>1613425</v>
      </c>
      <c r="E107" s="354">
        <f t="shared" si="47"/>
        <v>53006</v>
      </c>
      <c r="F107" s="55">
        <f t="shared" si="48"/>
        <v>1560419</v>
      </c>
      <c r="G107" s="55">
        <f t="shared" si="49"/>
        <v>1586922</v>
      </c>
      <c r="H107" s="436">
        <f t="shared" si="50"/>
        <v>266159.31552558328</v>
      </c>
      <c r="I107" s="437">
        <f t="shared" si="51"/>
        <v>266159.31552558328</v>
      </c>
      <c r="J107" s="54">
        <f t="shared" si="30"/>
        <v>0</v>
      </c>
      <c r="K107" s="54"/>
      <c r="L107" s="115"/>
      <c r="M107" s="54">
        <f t="shared" si="31"/>
        <v>0</v>
      </c>
      <c r="N107" s="115"/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2027</v>
      </c>
      <c r="D108" s="12">
        <f>IF(F107+SUM(E$99:E107)=D$92,F107,D$92-SUM(E$99:E107))</f>
        <v>1560419</v>
      </c>
      <c r="E108" s="354">
        <f t="shared" si="47"/>
        <v>53006</v>
      </c>
      <c r="F108" s="55">
        <f t="shared" si="48"/>
        <v>1507413</v>
      </c>
      <c r="G108" s="55">
        <f t="shared" si="49"/>
        <v>1533916</v>
      </c>
      <c r="H108" s="436">
        <f t="shared" si="50"/>
        <v>259039.61799618418</v>
      </c>
      <c r="I108" s="437">
        <f t="shared" si="51"/>
        <v>259039.61799618418</v>
      </c>
      <c r="J108" s="54">
        <f t="shared" si="30"/>
        <v>0</v>
      </c>
      <c r="K108" s="54"/>
      <c r="L108" s="115"/>
      <c r="M108" s="54">
        <f t="shared" si="31"/>
        <v>0</v>
      </c>
      <c r="N108" s="115"/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2028</v>
      </c>
      <c r="D109" s="12">
        <f>IF(F108+SUM(E$99:E108)=D$92,F108,D$92-SUM(E$99:E108))</f>
        <v>1507413</v>
      </c>
      <c r="E109" s="354">
        <f t="shared" si="47"/>
        <v>53006</v>
      </c>
      <c r="F109" s="55">
        <f t="shared" si="48"/>
        <v>1454407</v>
      </c>
      <c r="G109" s="55">
        <f t="shared" si="49"/>
        <v>1480910</v>
      </c>
      <c r="H109" s="436">
        <f t="shared" si="50"/>
        <v>251919.92046678509</v>
      </c>
      <c r="I109" s="437">
        <f t="shared" si="51"/>
        <v>251919.92046678509</v>
      </c>
      <c r="J109" s="54">
        <f t="shared" si="30"/>
        <v>0</v>
      </c>
      <c r="K109" s="54"/>
      <c r="L109" s="115"/>
      <c r="M109" s="54">
        <f t="shared" si="31"/>
        <v>0</v>
      </c>
      <c r="N109" s="115"/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2029</v>
      </c>
      <c r="D110" s="12">
        <f>IF(F109+SUM(E$99:E109)=D$92,F109,D$92-SUM(E$99:E109))</f>
        <v>1454407</v>
      </c>
      <c r="E110" s="354">
        <f t="shared" si="47"/>
        <v>53006</v>
      </c>
      <c r="F110" s="55">
        <f t="shared" si="48"/>
        <v>1401401</v>
      </c>
      <c r="G110" s="55">
        <f t="shared" si="49"/>
        <v>1427904</v>
      </c>
      <c r="H110" s="436">
        <f t="shared" si="50"/>
        <v>244800.22293738599</v>
      </c>
      <c r="I110" s="437">
        <f t="shared" si="51"/>
        <v>244800.22293738599</v>
      </c>
      <c r="J110" s="54">
        <f t="shared" si="30"/>
        <v>0</v>
      </c>
      <c r="K110" s="54"/>
      <c r="L110" s="115"/>
      <c r="M110" s="54">
        <f t="shared" si="31"/>
        <v>0</v>
      </c>
      <c r="N110" s="115"/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2030</v>
      </c>
      <c r="D111" s="12">
        <f>IF(F110+SUM(E$99:E110)=D$92,F110,D$92-SUM(E$99:E110))</f>
        <v>1401401</v>
      </c>
      <c r="E111" s="354">
        <f t="shared" si="47"/>
        <v>53006</v>
      </c>
      <c r="F111" s="55">
        <f t="shared" si="48"/>
        <v>1348395</v>
      </c>
      <c r="G111" s="55">
        <f t="shared" si="49"/>
        <v>1374898</v>
      </c>
      <c r="H111" s="436">
        <f t="shared" si="50"/>
        <v>237680.52540798692</v>
      </c>
      <c r="I111" s="437">
        <f t="shared" si="51"/>
        <v>237680.52540798692</v>
      </c>
      <c r="J111" s="54">
        <f t="shared" si="30"/>
        <v>0</v>
      </c>
      <c r="K111" s="54"/>
      <c r="L111" s="115"/>
      <c r="M111" s="54">
        <f t="shared" si="31"/>
        <v>0</v>
      </c>
      <c r="N111" s="115"/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2031</v>
      </c>
      <c r="D112" s="12">
        <f>IF(F111+SUM(E$99:E111)=D$92,F111,D$92-SUM(E$99:E111))</f>
        <v>1348395</v>
      </c>
      <c r="E112" s="354">
        <f t="shared" si="47"/>
        <v>53006</v>
      </c>
      <c r="F112" s="55">
        <f t="shared" si="48"/>
        <v>1295389</v>
      </c>
      <c r="G112" s="55">
        <f t="shared" si="49"/>
        <v>1321892</v>
      </c>
      <c r="H112" s="436">
        <f t="shared" si="50"/>
        <v>230560.82787858782</v>
      </c>
      <c r="I112" s="437">
        <f t="shared" si="51"/>
        <v>230560.82787858782</v>
      </c>
      <c r="J112" s="54">
        <f t="shared" si="30"/>
        <v>0</v>
      </c>
      <c r="K112" s="54"/>
      <c r="L112" s="115"/>
      <c r="M112" s="54">
        <f t="shared" si="31"/>
        <v>0</v>
      </c>
      <c r="N112" s="115"/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2032</v>
      </c>
      <c r="D113" s="12">
        <f>IF(F112+SUM(E$99:E112)=D$92,F112,D$92-SUM(E$99:E112))</f>
        <v>1295389</v>
      </c>
      <c r="E113" s="354">
        <f t="shared" si="47"/>
        <v>53006</v>
      </c>
      <c r="F113" s="55">
        <f t="shared" si="48"/>
        <v>1242383</v>
      </c>
      <c r="G113" s="55">
        <f t="shared" si="49"/>
        <v>1268886</v>
      </c>
      <c r="H113" s="436">
        <f t="shared" si="50"/>
        <v>223441.13034918872</v>
      </c>
      <c r="I113" s="437">
        <f t="shared" si="51"/>
        <v>223441.13034918872</v>
      </c>
      <c r="J113" s="54">
        <f t="shared" si="30"/>
        <v>0</v>
      </c>
      <c r="K113" s="54"/>
      <c r="L113" s="115"/>
      <c r="M113" s="54">
        <f t="shared" si="31"/>
        <v>0</v>
      </c>
      <c r="N113" s="115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2033</v>
      </c>
      <c r="D114" s="12">
        <f>IF(F113+SUM(E$99:E113)=D$92,F113,D$92-SUM(E$99:E113))</f>
        <v>1242383</v>
      </c>
      <c r="E114" s="354">
        <f t="shared" si="47"/>
        <v>53006</v>
      </c>
      <c r="F114" s="55">
        <f t="shared" si="48"/>
        <v>1189377</v>
      </c>
      <c r="G114" s="55">
        <f t="shared" si="49"/>
        <v>1215880</v>
      </c>
      <c r="H114" s="436">
        <f t="shared" si="50"/>
        <v>216321.43281978962</v>
      </c>
      <c r="I114" s="437">
        <f t="shared" si="51"/>
        <v>216321.43281978962</v>
      </c>
      <c r="J114" s="54">
        <f t="shared" si="30"/>
        <v>0</v>
      </c>
      <c r="K114" s="54"/>
      <c r="L114" s="115"/>
      <c r="M114" s="54">
        <f t="shared" si="31"/>
        <v>0</v>
      </c>
      <c r="N114" s="115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2034</v>
      </c>
      <c r="D115" s="12">
        <f>IF(F114+SUM(E$99:E114)=D$92,F114,D$92-SUM(E$99:E114))</f>
        <v>1189377</v>
      </c>
      <c r="E115" s="354">
        <f t="shared" si="47"/>
        <v>53006</v>
      </c>
      <c r="F115" s="55">
        <f t="shared" si="48"/>
        <v>1136371</v>
      </c>
      <c r="G115" s="55">
        <f t="shared" si="49"/>
        <v>1162874</v>
      </c>
      <c r="H115" s="436">
        <f t="shared" si="50"/>
        <v>209201.73529039053</v>
      </c>
      <c r="I115" s="437">
        <f t="shared" si="51"/>
        <v>209201.73529039053</v>
      </c>
      <c r="J115" s="54">
        <f t="shared" si="30"/>
        <v>0</v>
      </c>
      <c r="K115" s="54"/>
      <c r="L115" s="115"/>
      <c r="M115" s="54">
        <f t="shared" si="31"/>
        <v>0</v>
      </c>
      <c r="N115" s="115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2035</v>
      </c>
      <c r="D116" s="12">
        <f>IF(F115+SUM(E$99:E115)=D$92,F115,D$92-SUM(E$99:E115))</f>
        <v>1136371</v>
      </c>
      <c r="E116" s="354">
        <f t="shared" si="47"/>
        <v>53006</v>
      </c>
      <c r="F116" s="55">
        <f t="shared" si="48"/>
        <v>1083365</v>
      </c>
      <c r="G116" s="55">
        <f t="shared" si="49"/>
        <v>1109868</v>
      </c>
      <c r="H116" s="436">
        <f t="shared" si="50"/>
        <v>202082.03776099143</v>
      </c>
      <c r="I116" s="437">
        <f t="shared" si="51"/>
        <v>202082.03776099143</v>
      </c>
      <c r="J116" s="54">
        <f t="shared" si="30"/>
        <v>0</v>
      </c>
      <c r="K116" s="54"/>
      <c r="L116" s="115"/>
      <c r="M116" s="54">
        <f t="shared" si="31"/>
        <v>0</v>
      </c>
      <c r="N116" s="115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2036</v>
      </c>
      <c r="D117" s="12">
        <f>IF(F116+SUM(E$99:E116)=D$92,F116,D$92-SUM(E$99:E116))</f>
        <v>1083365</v>
      </c>
      <c r="E117" s="354">
        <f t="shared" si="47"/>
        <v>53006</v>
      </c>
      <c r="F117" s="55">
        <f t="shared" si="48"/>
        <v>1030359</v>
      </c>
      <c r="G117" s="55">
        <f t="shared" si="49"/>
        <v>1056862</v>
      </c>
      <c r="H117" s="436">
        <f t="shared" si="50"/>
        <v>194962.34023159236</v>
      </c>
      <c r="I117" s="437">
        <f t="shared" si="51"/>
        <v>194962.34023159236</v>
      </c>
      <c r="J117" s="54">
        <f t="shared" si="30"/>
        <v>0</v>
      </c>
      <c r="K117" s="54"/>
      <c r="L117" s="115"/>
      <c r="M117" s="54">
        <f t="shared" si="31"/>
        <v>0</v>
      </c>
      <c r="N117" s="115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2037</v>
      </c>
      <c r="D118" s="12">
        <f>IF(F117+SUM(E$99:E117)=D$92,F117,D$92-SUM(E$99:E117))</f>
        <v>1030359</v>
      </c>
      <c r="E118" s="354">
        <f t="shared" si="47"/>
        <v>53006</v>
      </c>
      <c r="F118" s="55">
        <f t="shared" si="48"/>
        <v>977353</v>
      </c>
      <c r="G118" s="55">
        <f t="shared" si="49"/>
        <v>1003856</v>
      </c>
      <c r="H118" s="436">
        <f t="shared" si="50"/>
        <v>187842.64270219326</v>
      </c>
      <c r="I118" s="437">
        <f t="shared" si="51"/>
        <v>187842.64270219326</v>
      </c>
      <c r="J118" s="54">
        <f t="shared" si="30"/>
        <v>0</v>
      </c>
      <c r="K118" s="54"/>
      <c r="L118" s="115"/>
      <c r="M118" s="54">
        <f t="shared" si="31"/>
        <v>0</v>
      </c>
      <c r="N118" s="115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2038</v>
      </c>
      <c r="D119" s="12">
        <f>IF(F118+SUM(E$99:E118)=D$92,F118,D$92-SUM(E$99:E118))</f>
        <v>977353</v>
      </c>
      <c r="E119" s="354">
        <f t="shared" si="47"/>
        <v>53006</v>
      </c>
      <c r="F119" s="55">
        <f t="shared" si="48"/>
        <v>924347</v>
      </c>
      <c r="G119" s="55">
        <f t="shared" si="49"/>
        <v>950850</v>
      </c>
      <c r="H119" s="436">
        <f t="shared" si="50"/>
        <v>180722.94517279416</v>
      </c>
      <c r="I119" s="437">
        <f t="shared" si="51"/>
        <v>180722.94517279416</v>
      </c>
      <c r="J119" s="54">
        <f t="shared" si="30"/>
        <v>0</v>
      </c>
      <c r="K119" s="54"/>
      <c r="L119" s="115"/>
      <c r="M119" s="54">
        <f t="shared" si="31"/>
        <v>0</v>
      </c>
      <c r="N119" s="115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2039</v>
      </c>
      <c r="D120" s="12">
        <f>IF(F119+SUM(E$99:E119)=D$92,F119,D$92-SUM(E$99:E119))</f>
        <v>924347</v>
      </c>
      <c r="E120" s="354">
        <f t="shared" si="47"/>
        <v>53006</v>
      </c>
      <c r="F120" s="55">
        <f t="shared" si="48"/>
        <v>871341</v>
      </c>
      <c r="G120" s="55">
        <f t="shared" si="49"/>
        <v>897844</v>
      </c>
      <c r="H120" s="436">
        <f t="shared" si="50"/>
        <v>173603.24764339507</v>
      </c>
      <c r="I120" s="437">
        <f t="shared" si="51"/>
        <v>173603.24764339507</v>
      </c>
      <c r="J120" s="54">
        <f t="shared" si="30"/>
        <v>0</v>
      </c>
      <c r="K120" s="54"/>
      <c r="L120" s="115"/>
      <c r="M120" s="54">
        <f t="shared" si="31"/>
        <v>0</v>
      </c>
      <c r="N120" s="115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2040</v>
      </c>
      <c r="D121" s="12">
        <f>IF(F120+SUM(E$99:E120)=D$92,F120,D$92-SUM(E$99:E120))</f>
        <v>871341</v>
      </c>
      <c r="E121" s="354">
        <f t="shared" si="47"/>
        <v>53006</v>
      </c>
      <c r="F121" s="55">
        <f t="shared" si="48"/>
        <v>818335</v>
      </c>
      <c r="G121" s="55">
        <f t="shared" si="49"/>
        <v>844838</v>
      </c>
      <c r="H121" s="436">
        <f t="shared" si="50"/>
        <v>166483.55011399597</v>
      </c>
      <c r="I121" s="437">
        <f t="shared" si="51"/>
        <v>166483.55011399597</v>
      </c>
      <c r="J121" s="54">
        <f t="shared" si="30"/>
        <v>0</v>
      </c>
      <c r="K121" s="54"/>
      <c r="L121" s="115"/>
      <c r="M121" s="54">
        <f t="shared" si="31"/>
        <v>0</v>
      </c>
      <c r="N121" s="115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2041</v>
      </c>
      <c r="D122" s="12">
        <f>IF(F121+SUM(E$99:E121)=D$92,F121,D$92-SUM(E$99:E121))</f>
        <v>818335</v>
      </c>
      <c r="E122" s="354">
        <f t="shared" si="47"/>
        <v>53006</v>
      </c>
      <c r="F122" s="55">
        <f t="shared" si="48"/>
        <v>765329</v>
      </c>
      <c r="G122" s="55">
        <f t="shared" si="49"/>
        <v>791832</v>
      </c>
      <c r="H122" s="436">
        <f t="shared" si="50"/>
        <v>159363.8525845969</v>
      </c>
      <c r="I122" s="437">
        <f t="shared" si="51"/>
        <v>159363.8525845969</v>
      </c>
      <c r="J122" s="54">
        <f t="shared" si="30"/>
        <v>0</v>
      </c>
      <c r="K122" s="54"/>
      <c r="L122" s="115"/>
      <c r="M122" s="54">
        <f t="shared" si="31"/>
        <v>0</v>
      </c>
      <c r="N122" s="115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2042</v>
      </c>
      <c r="D123" s="12">
        <f>IF(F122+SUM(E$99:E122)=D$92,F122,D$92-SUM(E$99:E122))</f>
        <v>765329</v>
      </c>
      <c r="E123" s="354">
        <f t="shared" si="47"/>
        <v>53006</v>
      </c>
      <c r="F123" s="55">
        <f t="shared" si="48"/>
        <v>712323</v>
      </c>
      <c r="G123" s="55">
        <f t="shared" si="49"/>
        <v>738826</v>
      </c>
      <c r="H123" s="436">
        <f t="shared" si="50"/>
        <v>152244.1550551978</v>
      </c>
      <c r="I123" s="437">
        <f t="shared" si="51"/>
        <v>152244.1550551978</v>
      </c>
      <c r="J123" s="54">
        <f t="shared" si="30"/>
        <v>0</v>
      </c>
      <c r="K123" s="54"/>
      <c r="L123" s="115"/>
      <c r="M123" s="54">
        <f t="shared" si="31"/>
        <v>0</v>
      </c>
      <c r="N123" s="115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2043</v>
      </c>
      <c r="D124" s="12">
        <f>IF(F123+SUM(E$99:E123)=D$92,F123,D$92-SUM(E$99:E123))</f>
        <v>712323</v>
      </c>
      <c r="E124" s="354">
        <f t="shared" si="47"/>
        <v>53006</v>
      </c>
      <c r="F124" s="55">
        <f t="shared" si="48"/>
        <v>659317</v>
      </c>
      <c r="G124" s="55">
        <f t="shared" si="49"/>
        <v>685820</v>
      </c>
      <c r="H124" s="436">
        <f t="shared" si="50"/>
        <v>145124.4575257987</v>
      </c>
      <c r="I124" s="437">
        <f t="shared" si="51"/>
        <v>145124.4575257987</v>
      </c>
      <c r="J124" s="54">
        <f t="shared" si="30"/>
        <v>0</v>
      </c>
      <c r="K124" s="54"/>
      <c r="L124" s="115"/>
      <c r="M124" s="54">
        <f t="shared" si="31"/>
        <v>0</v>
      </c>
      <c r="N124" s="115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2044</v>
      </c>
      <c r="D125" s="12">
        <f>IF(F124+SUM(E$99:E124)=D$92,F124,D$92-SUM(E$99:E124))</f>
        <v>659317</v>
      </c>
      <c r="E125" s="354">
        <f t="shared" si="47"/>
        <v>53006</v>
      </c>
      <c r="F125" s="55">
        <f t="shared" si="48"/>
        <v>606311</v>
      </c>
      <c r="G125" s="55">
        <f t="shared" si="49"/>
        <v>632814</v>
      </c>
      <c r="H125" s="436">
        <f t="shared" si="50"/>
        <v>138004.7599963996</v>
      </c>
      <c r="I125" s="437">
        <f t="shared" si="51"/>
        <v>138004.7599963996</v>
      </c>
      <c r="J125" s="54">
        <f t="shared" si="30"/>
        <v>0</v>
      </c>
      <c r="K125" s="54"/>
      <c r="L125" s="115"/>
      <c r="M125" s="54">
        <f t="shared" si="31"/>
        <v>0</v>
      </c>
      <c r="N125" s="115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2045</v>
      </c>
      <c r="D126" s="12">
        <f>IF(F125+SUM(E$99:E125)=D$92,F125,D$92-SUM(E$99:E125))</f>
        <v>606311</v>
      </c>
      <c r="E126" s="354">
        <f t="shared" si="47"/>
        <v>53006</v>
      </c>
      <c r="F126" s="55">
        <f t="shared" si="48"/>
        <v>553305</v>
      </c>
      <c r="G126" s="55">
        <f t="shared" si="49"/>
        <v>579808</v>
      </c>
      <c r="H126" s="436">
        <f t="shared" si="50"/>
        <v>130885.06246700052</v>
      </c>
      <c r="I126" s="437">
        <f t="shared" si="51"/>
        <v>130885.06246700052</v>
      </c>
      <c r="J126" s="54">
        <f t="shared" si="30"/>
        <v>0</v>
      </c>
      <c r="K126" s="54"/>
      <c r="L126" s="115"/>
      <c r="M126" s="54">
        <f t="shared" si="31"/>
        <v>0</v>
      </c>
      <c r="N126" s="115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2046</v>
      </c>
      <c r="D127" s="12">
        <f>IF(F126+SUM(E$99:E126)=D$92,F126,D$92-SUM(E$99:E126))</f>
        <v>553305</v>
      </c>
      <c r="E127" s="354">
        <f t="shared" si="47"/>
        <v>53006</v>
      </c>
      <c r="F127" s="55">
        <f t="shared" si="48"/>
        <v>500299</v>
      </c>
      <c r="G127" s="55">
        <f t="shared" si="49"/>
        <v>526802</v>
      </c>
      <c r="H127" s="436">
        <f t="shared" si="50"/>
        <v>123765.36493760142</v>
      </c>
      <c r="I127" s="437">
        <f t="shared" si="51"/>
        <v>123765.36493760142</v>
      </c>
      <c r="J127" s="54">
        <f t="shared" si="30"/>
        <v>0</v>
      </c>
      <c r="K127" s="54"/>
      <c r="L127" s="115"/>
      <c r="M127" s="54">
        <f t="shared" si="31"/>
        <v>0</v>
      </c>
      <c r="N127" s="115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2047</v>
      </c>
      <c r="D128" s="12">
        <f>IF(F127+SUM(E$99:E127)=D$92,F127,D$92-SUM(E$99:E127))</f>
        <v>500299</v>
      </c>
      <c r="E128" s="354">
        <f t="shared" si="47"/>
        <v>53006</v>
      </c>
      <c r="F128" s="55">
        <f t="shared" si="48"/>
        <v>447293</v>
      </c>
      <c r="G128" s="55">
        <f t="shared" si="49"/>
        <v>473796</v>
      </c>
      <c r="H128" s="436">
        <f t="shared" si="50"/>
        <v>116645.66740820234</v>
      </c>
      <c r="I128" s="437">
        <f t="shared" si="51"/>
        <v>116645.66740820234</v>
      </c>
      <c r="J128" s="54">
        <f t="shared" si="30"/>
        <v>0</v>
      </c>
      <c r="K128" s="54"/>
      <c r="L128" s="115"/>
      <c r="M128" s="54">
        <f t="shared" si="31"/>
        <v>0</v>
      </c>
      <c r="N128" s="115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2048</v>
      </c>
      <c r="D129" s="12">
        <f>IF(F128+SUM(E$99:E128)=D$92,F128,D$92-SUM(E$99:E128))</f>
        <v>447293</v>
      </c>
      <c r="E129" s="354">
        <f t="shared" si="47"/>
        <v>53006</v>
      </c>
      <c r="F129" s="55">
        <f t="shared" si="48"/>
        <v>394287</v>
      </c>
      <c r="G129" s="55">
        <f t="shared" si="49"/>
        <v>420790</v>
      </c>
      <c r="H129" s="436">
        <f t="shared" si="50"/>
        <v>109525.96987880324</v>
      </c>
      <c r="I129" s="437">
        <f t="shared" si="51"/>
        <v>109525.96987880324</v>
      </c>
      <c r="J129" s="54">
        <f t="shared" si="30"/>
        <v>0</v>
      </c>
      <c r="K129" s="54"/>
      <c r="L129" s="115"/>
      <c r="M129" s="54">
        <f t="shared" si="31"/>
        <v>0</v>
      </c>
      <c r="N129" s="115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2049</v>
      </c>
      <c r="D130" s="12">
        <f>IF(F129+SUM(E$99:E129)=D$92,F129,D$92-SUM(E$99:E129))</f>
        <v>394287</v>
      </c>
      <c r="E130" s="354">
        <f t="shared" si="47"/>
        <v>53006</v>
      </c>
      <c r="F130" s="55">
        <f t="shared" si="48"/>
        <v>341281</v>
      </c>
      <c r="G130" s="55">
        <f t="shared" si="49"/>
        <v>367784</v>
      </c>
      <c r="H130" s="436">
        <f t="shared" si="50"/>
        <v>102406.27234940414</v>
      </c>
      <c r="I130" s="437">
        <f t="shared" si="51"/>
        <v>102406.27234940414</v>
      </c>
      <c r="J130" s="54">
        <f t="shared" si="30"/>
        <v>0</v>
      </c>
      <c r="K130" s="54"/>
      <c r="L130" s="115"/>
      <c r="M130" s="54">
        <f t="shared" si="31"/>
        <v>0</v>
      </c>
      <c r="N130" s="115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2050</v>
      </c>
      <c r="D131" s="12">
        <f>IF(F130+SUM(E$99:E130)=D$92,F130,D$92-SUM(E$99:E130))</f>
        <v>341281</v>
      </c>
      <c r="E131" s="354">
        <f t="shared" si="47"/>
        <v>53006</v>
      </c>
      <c r="F131" s="55">
        <f t="shared" si="48"/>
        <v>288275</v>
      </c>
      <c r="G131" s="55">
        <f t="shared" si="49"/>
        <v>314778</v>
      </c>
      <c r="H131" s="436">
        <f t="shared" si="50"/>
        <v>95286.574820005044</v>
      </c>
      <c r="I131" s="437">
        <f t="shared" si="51"/>
        <v>95286.574820005044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4"/>
        <v/>
      </c>
      <c r="C132" s="50">
        <f>IF(D93="","-",+C131+1)</f>
        <v>2051</v>
      </c>
      <c r="D132" s="12">
        <f>IF(F131+SUM(E$99:E131)=D$92,F131,D$92-SUM(E$99:E131))</f>
        <v>288275</v>
      </c>
      <c r="E132" s="354">
        <f t="shared" si="47"/>
        <v>53006</v>
      </c>
      <c r="F132" s="55">
        <f t="shared" si="48"/>
        <v>235269</v>
      </c>
      <c r="G132" s="55">
        <f t="shared" si="49"/>
        <v>261772</v>
      </c>
      <c r="H132" s="436">
        <f t="shared" si="50"/>
        <v>88166.87729060596</v>
      </c>
      <c r="I132" s="437">
        <f t="shared" si="51"/>
        <v>88166.87729060596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2052</v>
      </c>
      <c r="D133" s="12">
        <f>IF(F132+SUM(E$99:E132)=D$92,F132,D$92-SUM(E$99:E132))</f>
        <v>235269</v>
      </c>
      <c r="E133" s="354">
        <f t="shared" si="47"/>
        <v>53006</v>
      </c>
      <c r="F133" s="55">
        <f t="shared" si="48"/>
        <v>182263</v>
      </c>
      <c r="G133" s="55">
        <f t="shared" si="49"/>
        <v>208766</v>
      </c>
      <c r="H133" s="436">
        <f t="shared" si="50"/>
        <v>81047.179761206862</v>
      </c>
      <c r="I133" s="437">
        <f t="shared" si="51"/>
        <v>81047.179761206862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2053</v>
      </c>
      <c r="D134" s="12">
        <f>IF(F133+SUM(E$99:E133)=D$92,F133,D$92-SUM(E$99:E133))</f>
        <v>182263</v>
      </c>
      <c r="E134" s="354">
        <f t="shared" si="47"/>
        <v>53006</v>
      </c>
      <c r="F134" s="55">
        <f t="shared" si="48"/>
        <v>129257</v>
      </c>
      <c r="G134" s="55">
        <f t="shared" si="49"/>
        <v>155760</v>
      </c>
      <c r="H134" s="436">
        <f t="shared" si="50"/>
        <v>73927.482231807779</v>
      </c>
      <c r="I134" s="437">
        <f t="shared" si="51"/>
        <v>73927.482231807779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2054</v>
      </c>
      <c r="D135" s="12">
        <f>IF(F134+SUM(E$99:E134)=D$92,F134,D$92-SUM(E$99:E134))</f>
        <v>129257</v>
      </c>
      <c r="E135" s="354">
        <f t="shared" si="47"/>
        <v>53006</v>
      </c>
      <c r="F135" s="55">
        <f t="shared" si="48"/>
        <v>76251</v>
      </c>
      <c r="G135" s="55">
        <f t="shared" si="49"/>
        <v>102754</v>
      </c>
      <c r="H135" s="436">
        <f t="shared" si="50"/>
        <v>66807.78470240868</v>
      </c>
      <c r="I135" s="437">
        <f t="shared" si="51"/>
        <v>66807.78470240868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2055</v>
      </c>
      <c r="D136" s="12">
        <f>IF(F135+SUM(E$99:E135)=D$92,F135,D$92-SUM(E$99:E135))</f>
        <v>76251</v>
      </c>
      <c r="E136" s="354">
        <f t="shared" si="47"/>
        <v>53006</v>
      </c>
      <c r="F136" s="55">
        <f t="shared" si="48"/>
        <v>23245</v>
      </c>
      <c r="G136" s="55">
        <f t="shared" si="49"/>
        <v>49748</v>
      </c>
      <c r="H136" s="436">
        <f t="shared" si="50"/>
        <v>59688.087173009582</v>
      </c>
      <c r="I136" s="437">
        <f t="shared" si="51"/>
        <v>59688.087173009582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2056</v>
      </c>
      <c r="D137" s="12">
        <f>IF(F136+SUM(E$99:E136)=D$92,F136,D$92-SUM(E$99:E136))</f>
        <v>23245</v>
      </c>
      <c r="E137" s="354">
        <f t="shared" si="47"/>
        <v>23245</v>
      </c>
      <c r="F137" s="55">
        <f t="shared" si="48"/>
        <v>0</v>
      </c>
      <c r="G137" s="55">
        <f t="shared" si="49"/>
        <v>11622.5</v>
      </c>
      <c r="H137" s="436">
        <f t="shared" si="50"/>
        <v>24806.11920415502</v>
      </c>
      <c r="I137" s="437">
        <f t="shared" si="51"/>
        <v>24806.11920415502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7"/>
        <v>0</v>
      </c>
      <c r="F138" s="55">
        <f t="shared" si="48"/>
        <v>0</v>
      </c>
      <c r="G138" s="55">
        <f t="shared" si="49"/>
        <v>0</v>
      </c>
      <c r="H138" s="436">
        <f t="shared" si="50"/>
        <v>0</v>
      </c>
      <c r="I138" s="437">
        <f t="shared" si="51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7"/>
        <v>0</v>
      </c>
      <c r="F139" s="55">
        <f t="shared" si="48"/>
        <v>0</v>
      </c>
      <c r="G139" s="55">
        <f t="shared" si="49"/>
        <v>0</v>
      </c>
      <c r="H139" s="436">
        <f t="shared" si="50"/>
        <v>0</v>
      </c>
      <c r="I139" s="437">
        <f t="shared" si="51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7"/>
        <v>0</v>
      </c>
      <c r="F140" s="55">
        <f t="shared" si="48"/>
        <v>0</v>
      </c>
      <c r="G140" s="55">
        <f t="shared" si="49"/>
        <v>0</v>
      </c>
      <c r="H140" s="436">
        <f t="shared" si="50"/>
        <v>0</v>
      </c>
      <c r="I140" s="437">
        <f t="shared" si="51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7"/>
        <v>0</v>
      </c>
      <c r="F141" s="55">
        <f t="shared" si="48"/>
        <v>0</v>
      </c>
      <c r="G141" s="55">
        <f t="shared" si="49"/>
        <v>0</v>
      </c>
      <c r="H141" s="436">
        <f t="shared" si="50"/>
        <v>0</v>
      </c>
      <c r="I141" s="437">
        <f t="shared" si="51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7"/>
        <v>0</v>
      </c>
      <c r="F142" s="55">
        <f t="shared" si="48"/>
        <v>0</v>
      </c>
      <c r="G142" s="55">
        <f t="shared" si="49"/>
        <v>0</v>
      </c>
      <c r="H142" s="436">
        <f t="shared" si="50"/>
        <v>0</v>
      </c>
      <c r="I142" s="437">
        <f t="shared" si="51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7"/>
        <v>0</v>
      </c>
      <c r="F143" s="55">
        <f t="shared" si="48"/>
        <v>0</v>
      </c>
      <c r="G143" s="55">
        <f t="shared" si="49"/>
        <v>0</v>
      </c>
      <c r="H143" s="436">
        <f t="shared" si="50"/>
        <v>0</v>
      </c>
      <c r="I143" s="437">
        <f t="shared" si="51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7"/>
        <v>0</v>
      </c>
      <c r="F144" s="55">
        <f t="shared" si="48"/>
        <v>0</v>
      </c>
      <c r="G144" s="55">
        <f t="shared" si="49"/>
        <v>0</v>
      </c>
      <c r="H144" s="436">
        <f t="shared" si="50"/>
        <v>0</v>
      </c>
      <c r="I144" s="437">
        <f t="shared" si="51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7"/>
        <v>0</v>
      </c>
      <c r="F145" s="55">
        <f t="shared" si="48"/>
        <v>0</v>
      </c>
      <c r="G145" s="55">
        <f t="shared" si="49"/>
        <v>0</v>
      </c>
      <c r="H145" s="436">
        <f t="shared" si="50"/>
        <v>0</v>
      </c>
      <c r="I145" s="437">
        <f t="shared" si="51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7"/>
        <v>0</v>
      </c>
      <c r="F146" s="55">
        <f t="shared" si="48"/>
        <v>0</v>
      </c>
      <c r="G146" s="55">
        <f t="shared" si="49"/>
        <v>0</v>
      </c>
      <c r="H146" s="436">
        <f t="shared" si="50"/>
        <v>0</v>
      </c>
      <c r="I146" s="437">
        <f t="shared" si="51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7"/>
        <v>0</v>
      </c>
      <c r="F147" s="55">
        <f t="shared" si="48"/>
        <v>0</v>
      </c>
      <c r="G147" s="55">
        <f t="shared" si="49"/>
        <v>0</v>
      </c>
      <c r="H147" s="436">
        <f t="shared" si="50"/>
        <v>0</v>
      </c>
      <c r="I147" s="437">
        <f t="shared" si="51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7"/>
        <v>0</v>
      </c>
      <c r="F148" s="55">
        <f t="shared" si="48"/>
        <v>0</v>
      </c>
      <c r="G148" s="55">
        <f t="shared" si="49"/>
        <v>0</v>
      </c>
      <c r="H148" s="436">
        <f t="shared" si="50"/>
        <v>0</v>
      </c>
      <c r="I148" s="437">
        <f t="shared" si="51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7"/>
        <v>0</v>
      </c>
      <c r="F149" s="55">
        <f t="shared" si="48"/>
        <v>0</v>
      </c>
      <c r="G149" s="55">
        <f t="shared" si="49"/>
        <v>0</v>
      </c>
      <c r="H149" s="436">
        <f t="shared" si="50"/>
        <v>0</v>
      </c>
      <c r="I149" s="437">
        <f t="shared" si="51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7"/>
        <v>0</v>
      </c>
      <c r="F150" s="55">
        <f t="shared" si="48"/>
        <v>0</v>
      </c>
      <c r="G150" s="55">
        <f t="shared" si="49"/>
        <v>0</v>
      </c>
      <c r="H150" s="436">
        <f t="shared" si="50"/>
        <v>0</v>
      </c>
      <c r="I150" s="437">
        <f t="shared" si="51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7"/>
        <v>0</v>
      </c>
      <c r="F151" s="55">
        <f t="shared" si="48"/>
        <v>0</v>
      </c>
      <c r="G151" s="55">
        <f t="shared" si="49"/>
        <v>0</v>
      </c>
      <c r="H151" s="436">
        <f t="shared" si="50"/>
        <v>0</v>
      </c>
      <c r="I151" s="437">
        <f t="shared" si="51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7"/>
        <v>0</v>
      </c>
      <c r="F152" s="55">
        <f t="shared" si="48"/>
        <v>0</v>
      </c>
      <c r="G152" s="55">
        <f t="shared" si="49"/>
        <v>0</v>
      </c>
      <c r="H152" s="436">
        <f t="shared" si="50"/>
        <v>0</v>
      </c>
      <c r="I152" s="437">
        <f t="shared" si="51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7"/>
        <v>0</v>
      </c>
      <c r="F153" s="55">
        <f t="shared" si="48"/>
        <v>0</v>
      </c>
      <c r="G153" s="55">
        <f t="shared" si="49"/>
        <v>0</v>
      </c>
      <c r="H153" s="436">
        <f t="shared" si="50"/>
        <v>0</v>
      </c>
      <c r="I153" s="437">
        <f t="shared" si="51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7"/>
        <v>0</v>
      </c>
      <c r="F154" s="59">
        <f t="shared" si="48"/>
        <v>0</v>
      </c>
      <c r="G154" s="59">
        <f t="shared" si="49"/>
        <v>0</v>
      </c>
      <c r="H154" s="438">
        <f t="shared" si="50"/>
        <v>0</v>
      </c>
      <c r="I154" s="439">
        <f t="shared" si="51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1961221</v>
      </c>
      <c r="F155" s="267"/>
      <c r="G155" s="267"/>
      <c r="H155" s="267">
        <f>SUM(H99:H154)</f>
        <v>6804700.9139328459</v>
      </c>
      <c r="I155" s="267">
        <f>SUM(I99:I154)</f>
        <v>6804700.9139328459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0"/>
  <dimension ref="A1:V162"/>
  <sheetViews>
    <sheetView topLeftCell="A77" zoomScaleNormal="100" zoomScaleSheetLayoutView="78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21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39460.803706818144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39460.803706818144</v>
      </c>
      <c r="O6" s="1"/>
      <c r="P6" s="1"/>
    </row>
    <row r="7" spans="1:16" ht="13.5" thickBot="1">
      <c r="C7" s="26" t="s">
        <v>46</v>
      </c>
      <c r="D7" s="88" t="s">
        <v>279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299</v>
      </c>
      <c r="E9" s="404" t="s">
        <v>300</v>
      </c>
      <c r="F9" s="32"/>
      <c r="G9" s="452" t="s">
        <v>407</v>
      </c>
      <c r="H9" s="32"/>
      <c r="I9" s="33"/>
      <c r="J9" s="34"/>
      <c r="P9" s="1"/>
    </row>
    <row r="10" spans="1:16" ht="13">
      <c r="C10" s="128" t="s">
        <v>226</v>
      </c>
      <c r="D10" s="336">
        <v>330872.36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8707.1673684210527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2017</v>
      </c>
      <c r="D17" s="411">
        <v>0</v>
      </c>
      <c r="E17" s="433">
        <v>2847.8260869565215</v>
      </c>
      <c r="F17" s="411">
        <v>259152.17391304349</v>
      </c>
      <c r="G17" s="433">
        <v>19337.763747649027</v>
      </c>
      <c r="H17" s="414">
        <v>19337.763747649027</v>
      </c>
      <c r="I17" s="52">
        <f t="shared" ref="I17:I72" si="0">H17-G17</f>
        <v>0</v>
      </c>
      <c r="J17" s="52"/>
      <c r="K17" s="53">
        <f t="shared" ref="K17:K22" si="1">+G17</f>
        <v>19337.763747649027</v>
      </c>
      <c r="L17" s="53">
        <f t="shared" ref="L17:L72" si="2">IF(K17&lt;&gt;0,+G17-K17,0)</f>
        <v>0</v>
      </c>
      <c r="M17" s="53">
        <f t="shared" ref="M17:M22" si="3">+H17</f>
        <v>19337.763747649027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259152.17391304349</v>
      </c>
      <c r="E18" s="412">
        <v>5822.2222222222226</v>
      </c>
      <c r="F18" s="411">
        <v>253329.95169082127</v>
      </c>
      <c r="G18" s="412">
        <v>36509.380469214986</v>
      </c>
      <c r="H18" s="414">
        <v>36509.380469214986</v>
      </c>
      <c r="I18" s="52">
        <f t="shared" si="0"/>
        <v>0</v>
      </c>
      <c r="J18" s="52"/>
      <c r="K18" s="54">
        <f t="shared" si="1"/>
        <v>36509.380469214986</v>
      </c>
      <c r="L18" s="54">
        <f t="shared" si="2"/>
        <v>0</v>
      </c>
      <c r="M18" s="54">
        <f t="shared" si="3"/>
        <v>36509.380469214986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11">
        <v>253329.95169082127</v>
      </c>
      <c r="E19" s="412">
        <v>6550</v>
      </c>
      <c r="F19" s="411">
        <v>246779.95169082127</v>
      </c>
      <c r="G19" s="412">
        <v>34470.293545069071</v>
      </c>
      <c r="H19" s="414">
        <v>34470.293545069071</v>
      </c>
      <c r="I19" s="52">
        <f t="shared" si="0"/>
        <v>0</v>
      </c>
      <c r="J19" s="52"/>
      <c r="K19" s="54">
        <f t="shared" si="1"/>
        <v>34470.293545069071</v>
      </c>
      <c r="L19" s="54">
        <f t="shared" ref="L19" si="6">IF(K19&lt;&gt;0,+G19-K19,0)</f>
        <v>0</v>
      </c>
      <c r="M19" s="54">
        <f t="shared" si="3"/>
        <v>34470.293545069071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316379.72946859902</v>
      </c>
      <c r="E20" s="412">
        <v>7877.9047619047615</v>
      </c>
      <c r="F20" s="411">
        <v>308501.82470669429</v>
      </c>
      <c r="G20" s="412">
        <v>41623.00118882845</v>
      </c>
      <c r="H20" s="414">
        <v>41623.00118882845</v>
      </c>
      <c r="I20" s="52">
        <f t="shared" si="0"/>
        <v>0</v>
      </c>
      <c r="J20" s="52"/>
      <c r="K20" s="54">
        <f t="shared" si="1"/>
        <v>41623.00118882845</v>
      </c>
      <c r="L20" s="54">
        <f t="shared" ref="L20" si="8">IF(K20&lt;&gt;0,+G20-K20,0)</f>
        <v>0</v>
      </c>
      <c r="M20" s="54">
        <f t="shared" si="3"/>
        <v>41623.00118882845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307774.04692891648</v>
      </c>
      <c r="E21" s="412">
        <v>7694.6976744186049</v>
      </c>
      <c r="F21" s="411">
        <v>300079.34925449785</v>
      </c>
      <c r="G21" s="412">
        <v>40464.576318636115</v>
      </c>
      <c r="H21" s="414">
        <v>40464.576318636115</v>
      </c>
      <c r="I21" s="52">
        <f t="shared" si="0"/>
        <v>0</v>
      </c>
      <c r="J21" s="52"/>
      <c r="K21" s="54">
        <f t="shared" si="1"/>
        <v>40464.576318636115</v>
      </c>
      <c r="L21" s="54">
        <f t="shared" ref="L21" si="9">IF(K21&lt;&gt;0,+G21-K21,0)</f>
        <v>0</v>
      </c>
      <c r="M21" s="54">
        <f t="shared" si="3"/>
        <v>40464.576318636115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300079.34925449785</v>
      </c>
      <c r="E22" s="412">
        <v>7877.9047619047615</v>
      </c>
      <c r="F22" s="411">
        <v>292201.44449259312</v>
      </c>
      <c r="G22" s="412">
        <v>39805.169882695685</v>
      </c>
      <c r="H22" s="414">
        <v>39805.169882695685</v>
      </c>
      <c r="I22" s="52">
        <f t="shared" si="0"/>
        <v>0</v>
      </c>
      <c r="J22" s="52"/>
      <c r="K22" s="54">
        <f t="shared" si="1"/>
        <v>39805.169882695685</v>
      </c>
      <c r="L22" s="54">
        <f t="shared" ref="L22" si="10">IF(K22&lt;&gt;0,+G22-K22,0)</f>
        <v>0</v>
      </c>
      <c r="M22" s="54">
        <f t="shared" si="3"/>
        <v>39805.169882695685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292201.8044925931</v>
      </c>
      <c r="E23" s="412">
        <v>8483.9066666666658</v>
      </c>
      <c r="F23" s="411">
        <v>283717.89782592643</v>
      </c>
      <c r="G23" s="412">
        <v>42854.492332323091</v>
      </c>
      <c r="H23" s="414">
        <v>42854.492332323091</v>
      </c>
      <c r="I23" s="52">
        <f t="shared" si="0"/>
        <v>0</v>
      </c>
      <c r="J23" s="52"/>
      <c r="K23" s="54">
        <f t="shared" ref="K23" si="11">+G23</f>
        <v>42854.492332323091</v>
      </c>
      <c r="L23" s="54">
        <f t="shared" ref="L23" si="12">IF(K23&lt;&gt;0,+G23-K23,0)</f>
        <v>0</v>
      </c>
      <c r="M23" s="54">
        <f t="shared" ref="M23" si="13">+H23</f>
        <v>42854.492332323091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50">
        <f>IF(D11="","-",+C23+1)</f>
        <v>2024</v>
      </c>
      <c r="D24" s="411">
        <v>283717.89782592643</v>
      </c>
      <c r="E24" s="412">
        <v>8707.1673684210527</v>
      </c>
      <c r="F24" s="411">
        <v>275010.73045750539</v>
      </c>
      <c r="G24" s="412">
        <v>40482.116861943046</v>
      </c>
      <c r="H24" s="414">
        <v>40482.116861943046</v>
      </c>
      <c r="I24" s="52">
        <f t="shared" si="0"/>
        <v>0</v>
      </c>
      <c r="J24" s="52"/>
      <c r="K24" s="54">
        <f t="shared" ref="K24" si="16">+G24</f>
        <v>40482.116861943046</v>
      </c>
      <c r="L24" s="54">
        <f t="shared" ref="L24" si="17">IF(K24&lt;&gt;0,+G24-K24,0)</f>
        <v>0</v>
      </c>
      <c r="M24" s="54">
        <f t="shared" ref="M24" si="18">+H24</f>
        <v>40482.116861943046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49">
        <f>IF(D11="","-",+C24+1)</f>
        <v>2025</v>
      </c>
      <c r="D25" s="411">
        <v>275010.73045750539</v>
      </c>
      <c r="E25" s="412">
        <v>8707.1673684210527</v>
      </c>
      <c r="F25" s="411">
        <v>266303.56308908435</v>
      </c>
      <c r="G25" s="412">
        <v>39455.576940392195</v>
      </c>
      <c r="H25" s="414">
        <v>39455.576940392195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266303.56308908435</v>
      </c>
      <c r="E26" s="354">
        <f t="shared" ref="E26:E72" si="21">IF(+I$14&lt;F25,I$14,D26)</f>
        <v>8707.1673684210527</v>
      </c>
      <c r="F26" s="55">
        <f t="shared" ref="F26:F72" si="22">+D26-E26</f>
        <v>257596.39572066331</v>
      </c>
      <c r="G26" s="355">
        <f t="shared" ref="G26:G72" si="23">(D26+F26)/2*I$12+E26</f>
        <v>39460.803706818144</v>
      </c>
      <c r="H26" s="337">
        <f t="shared" ref="H26:H72" si="24">+(D26+F26)/2*I$13+E26</f>
        <v>39460.803706818144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257596.39572066331</v>
      </c>
      <c r="E27" s="354">
        <f t="shared" si="21"/>
        <v>8707.1673684210527</v>
      </c>
      <c r="F27" s="55">
        <f t="shared" si="22"/>
        <v>248889.22835224227</v>
      </c>
      <c r="G27" s="355">
        <f t="shared" si="23"/>
        <v>38438.558698842404</v>
      </c>
      <c r="H27" s="337">
        <f t="shared" si="24"/>
        <v>38438.558698842404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248889.22835224227</v>
      </c>
      <c r="E28" s="354">
        <f t="shared" si="21"/>
        <v>8707.1673684210527</v>
      </c>
      <c r="F28" s="55">
        <f t="shared" si="22"/>
        <v>240182.06098382123</v>
      </c>
      <c r="G28" s="355">
        <f t="shared" si="23"/>
        <v>37416.313690866671</v>
      </c>
      <c r="H28" s="337">
        <f t="shared" si="24"/>
        <v>37416.313690866671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240182.06098382123</v>
      </c>
      <c r="E29" s="354">
        <f t="shared" si="21"/>
        <v>8707.1673684210527</v>
      </c>
      <c r="F29" s="55">
        <f t="shared" si="22"/>
        <v>231474.89361540019</v>
      </c>
      <c r="G29" s="355">
        <f t="shared" si="23"/>
        <v>36394.068682890938</v>
      </c>
      <c r="H29" s="337">
        <f t="shared" si="24"/>
        <v>36394.068682890938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231474.89361540019</v>
      </c>
      <c r="E30" s="354">
        <f t="shared" si="21"/>
        <v>8707.1673684210527</v>
      </c>
      <c r="F30" s="55">
        <f t="shared" si="22"/>
        <v>222767.72624697915</v>
      </c>
      <c r="G30" s="355">
        <f t="shared" si="23"/>
        <v>35371.823674915206</v>
      </c>
      <c r="H30" s="337">
        <f t="shared" si="24"/>
        <v>35371.823674915206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222767.72624697915</v>
      </c>
      <c r="E31" s="354">
        <f t="shared" si="21"/>
        <v>8707.1673684210527</v>
      </c>
      <c r="F31" s="55">
        <f t="shared" si="22"/>
        <v>214060.55887855811</v>
      </c>
      <c r="G31" s="355">
        <f t="shared" si="23"/>
        <v>34349.578666939473</v>
      </c>
      <c r="H31" s="337">
        <f t="shared" si="24"/>
        <v>34349.578666939473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214060.55887855811</v>
      </c>
      <c r="E32" s="354">
        <f t="shared" si="21"/>
        <v>8707.1673684210527</v>
      </c>
      <c r="F32" s="55">
        <f t="shared" si="22"/>
        <v>205353.39151013707</v>
      </c>
      <c r="G32" s="355">
        <f t="shared" si="23"/>
        <v>33327.33365896374</v>
      </c>
      <c r="H32" s="337">
        <f t="shared" si="24"/>
        <v>33327.33365896374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205353.39151013707</v>
      </c>
      <c r="E33" s="354">
        <f t="shared" si="21"/>
        <v>8707.1673684210527</v>
      </c>
      <c r="F33" s="55">
        <f t="shared" si="22"/>
        <v>196646.22414171603</v>
      </c>
      <c r="G33" s="355">
        <f t="shared" si="23"/>
        <v>32305.088650988</v>
      </c>
      <c r="H33" s="337">
        <f t="shared" si="24"/>
        <v>32305.088650988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196646.22414171603</v>
      </c>
      <c r="E34" s="354">
        <f t="shared" si="21"/>
        <v>8707.1673684210527</v>
      </c>
      <c r="F34" s="55">
        <f t="shared" si="22"/>
        <v>187939.05677329499</v>
      </c>
      <c r="G34" s="355">
        <f t="shared" si="23"/>
        <v>31282.843643012267</v>
      </c>
      <c r="H34" s="337">
        <f t="shared" si="24"/>
        <v>31282.843643012267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187939.05677329499</v>
      </c>
      <c r="E35" s="354">
        <f t="shared" si="21"/>
        <v>8707.1673684210527</v>
      </c>
      <c r="F35" s="55">
        <f t="shared" si="22"/>
        <v>179231.88940487395</v>
      </c>
      <c r="G35" s="355">
        <f t="shared" si="23"/>
        <v>30260.598635036535</v>
      </c>
      <c r="H35" s="337">
        <f t="shared" si="24"/>
        <v>30260.598635036535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179231.88940487395</v>
      </c>
      <c r="E36" s="354">
        <f t="shared" si="21"/>
        <v>8707.1673684210527</v>
      </c>
      <c r="F36" s="55">
        <f t="shared" si="22"/>
        <v>170524.72203645291</v>
      </c>
      <c r="G36" s="355">
        <f t="shared" si="23"/>
        <v>29238.353627060802</v>
      </c>
      <c r="H36" s="337">
        <f t="shared" si="24"/>
        <v>29238.353627060802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170524.72203645291</v>
      </c>
      <c r="E37" s="354">
        <f t="shared" si="21"/>
        <v>8707.1673684210527</v>
      </c>
      <c r="F37" s="55">
        <f t="shared" si="22"/>
        <v>161817.55466803187</v>
      </c>
      <c r="G37" s="355">
        <f t="shared" si="23"/>
        <v>28216.108619085069</v>
      </c>
      <c r="H37" s="337">
        <f t="shared" si="24"/>
        <v>28216.108619085069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161817.55466803187</v>
      </c>
      <c r="E38" s="354">
        <f t="shared" si="21"/>
        <v>8707.1673684210527</v>
      </c>
      <c r="F38" s="55">
        <f t="shared" si="22"/>
        <v>153110.38729961083</v>
      </c>
      <c r="G38" s="355">
        <f t="shared" si="23"/>
        <v>27193.863611109329</v>
      </c>
      <c r="H38" s="337">
        <f t="shared" si="24"/>
        <v>27193.863611109329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153110.38729961083</v>
      </c>
      <c r="E39" s="354">
        <f t="shared" si="21"/>
        <v>8707.1673684210527</v>
      </c>
      <c r="F39" s="55">
        <f t="shared" si="22"/>
        <v>144403.21993118979</v>
      </c>
      <c r="G39" s="355">
        <f t="shared" si="23"/>
        <v>26171.618603133596</v>
      </c>
      <c r="H39" s="337">
        <f t="shared" si="24"/>
        <v>26171.618603133596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144403.21993118979</v>
      </c>
      <c r="E40" s="354">
        <f t="shared" si="21"/>
        <v>8707.1673684210527</v>
      </c>
      <c r="F40" s="55">
        <f t="shared" si="22"/>
        <v>135696.05256276875</v>
      </c>
      <c r="G40" s="355">
        <f t="shared" si="23"/>
        <v>25149.373595157864</v>
      </c>
      <c r="H40" s="337">
        <f t="shared" si="24"/>
        <v>25149.373595157864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135696.05256276875</v>
      </c>
      <c r="E41" s="354">
        <f t="shared" si="21"/>
        <v>8707.1673684210527</v>
      </c>
      <c r="F41" s="55">
        <f t="shared" si="22"/>
        <v>126988.88519434769</v>
      </c>
      <c r="G41" s="355">
        <f t="shared" si="23"/>
        <v>24127.128587182131</v>
      </c>
      <c r="H41" s="337">
        <f t="shared" si="24"/>
        <v>24127.128587182131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126988.88519434769</v>
      </c>
      <c r="E42" s="354">
        <f t="shared" si="21"/>
        <v>8707.1673684210527</v>
      </c>
      <c r="F42" s="55">
        <f t="shared" si="22"/>
        <v>118281.71782592664</v>
      </c>
      <c r="G42" s="355">
        <f t="shared" si="23"/>
        <v>23104.883579206391</v>
      </c>
      <c r="H42" s="337">
        <f t="shared" si="24"/>
        <v>23104.883579206391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118281.71782592664</v>
      </c>
      <c r="E43" s="354">
        <f t="shared" si="21"/>
        <v>8707.1673684210527</v>
      </c>
      <c r="F43" s="55">
        <f t="shared" si="22"/>
        <v>109574.55045750558</v>
      </c>
      <c r="G43" s="355">
        <f t="shared" si="23"/>
        <v>22082.638571230658</v>
      </c>
      <c r="H43" s="337">
        <f t="shared" si="24"/>
        <v>22082.638571230658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109574.55045750558</v>
      </c>
      <c r="E44" s="354">
        <f t="shared" si="21"/>
        <v>8707.1673684210527</v>
      </c>
      <c r="F44" s="55">
        <f t="shared" si="22"/>
        <v>100867.38308908453</v>
      </c>
      <c r="G44" s="355">
        <f t="shared" si="23"/>
        <v>21060.393563254918</v>
      </c>
      <c r="H44" s="337">
        <f t="shared" si="24"/>
        <v>21060.393563254918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100867.38308908453</v>
      </c>
      <c r="E45" s="354">
        <f t="shared" si="21"/>
        <v>8707.1673684210527</v>
      </c>
      <c r="F45" s="55">
        <f t="shared" si="22"/>
        <v>92160.215720663473</v>
      </c>
      <c r="G45" s="355">
        <f t="shared" si="23"/>
        <v>20038.148555279186</v>
      </c>
      <c r="H45" s="337">
        <f t="shared" si="24"/>
        <v>20038.148555279186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92160.215720663473</v>
      </c>
      <c r="E46" s="354">
        <f t="shared" si="21"/>
        <v>8707.1673684210527</v>
      </c>
      <c r="F46" s="55">
        <f t="shared" si="22"/>
        <v>83453.048352242418</v>
      </c>
      <c r="G46" s="355">
        <f t="shared" si="23"/>
        <v>19015.903547303446</v>
      </c>
      <c r="H46" s="337">
        <f t="shared" si="24"/>
        <v>19015.903547303446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83453.048352242418</v>
      </c>
      <c r="E47" s="354">
        <f t="shared" si="21"/>
        <v>8707.1673684210527</v>
      </c>
      <c r="F47" s="55">
        <f t="shared" si="22"/>
        <v>74745.880983821364</v>
      </c>
      <c r="G47" s="355">
        <f t="shared" si="23"/>
        <v>17993.658539327713</v>
      </c>
      <c r="H47" s="337">
        <f t="shared" si="24"/>
        <v>17993.658539327713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74745.880983821364</v>
      </c>
      <c r="E48" s="354">
        <f t="shared" si="21"/>
        <v>8707.1673684210527</v>
      </c>
      <c r="F48" s="55">
        <f t="shared" si="22"/>
        <v>66038.713615400309</v>
      </c>
      <c r="G48" s="355">
        <f t="shared" si="23"/>
        <v>16971.413531351976</v>
      </c>
      <c r="H48" s="337">
        <f t="shared" si="24"/>
        <v>16971.413531351976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66038.713615400309</v>
      </c>
      <c r="E49" s="354">
        <f t="shared" si="21"/>
        <v>8707.1673684210527</v>
      </c>
      <c r="F49" s="55">
        <f t="shared" si="22"/>
        <v>57331.546246979255</v>
      </c>
      <c r="G49" s="355">
        <f t="shared" si="23"/>
        <v>15949.16852337624</v>
      </c>
      <c r="H49" s="337">
        <f t="shared" si="24"/>
        <v>15949.16852337624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22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57331.546246979255</v>
      </c>
      <c r="E50" s="354">
        <f t="shared" si="21"/>
        <v>8707.1673684210527</v>
      </c>
      <c r="F50" s="55">
        <f t="shared" si="22"/>
        <v>48624.3788785582</v>
      </c>
      <c r="G50" s="355">
        <f t="shared" si="23"/>
        <v>14926.923515400504</v>
      </c>
      <c r="H50" s="337">
        <f t="shared" si="24"/>
        <v>14926.923515400504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22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48624.3788785582</v>
      </c>
      <c r="E51" s="354">
        <f t="shared" si="21"/>
        <v>8707.1673684210527</v>
      </c>
      <c r="F51" s="55">
        <f t="shared" si="22"/>
        <v>39917.211510137146</v>
      </c>
      <c r="G51" s="355">
        <f t="shared" si="23"/>
        <v>13904.678507424769</v>
      </c>
      <c r="H51" s="337">
        <f t="shared" si="24"/>
        <v>13904.678507424769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39917.211510137146</v>
      </c>
      <c r="E52" s="354">
        <f t="shared" si="21"/>
        <v>8707.1673684210527</v>
      </c>
      <c r="F52" s="55">
        <f t="shared" si="22"/>
        <v>31210.044141716091</v>
      </c>
      <c r="G52" s="355">
        <f t="shared" si="23"/>
        <v>12882.433499449035</v>
      </c>
      <c r="H52" s="337">
        <f t="shared" si="24"/>
        <v>12882.433499449035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22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31210.044141716091</v>
      </c>
      <c r="E53" s="354">
        <f t="shared" si="21"/>
        <v>8707.1673684210527</v>
      </c>
      <c r="F53" s="55">
        <f t="shared" si="22"/>
        <v>22502.876773295036</v>
      </c>
      <c r="G53" s="355">
        <f t="shared" si="23"/>
        <v>11860.188491473298</v>
      </c>
      <c r="H53" s="337">
        <f t="shared" si="24"/>
        <v>11860.188491473298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22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22502.876773295036</v>
      </c>
      <c r="E54" s="354">
        <f t="shared" si="21"/>
        <v>8707.1673684210527</v>
      </c>
      <c r="F54" s="55">
        <f t="shared" si="22"/>
        <v>13795.709404873984</v>
      </c>
      <c r="G54" s="355">
        <f t="shared" si="23"/>
        <v>10837.943483497562</v>
      </c>
      <c r="H54" s="337">
        <f t="shared" si="24"/>
        <v>10837.943483497562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22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13795.709404873984</v>
      </c>
      <c r="E55" s="354">
        <f t="shared" si="21"/>
        <v>8707.1673684210527</v>
      </c>
      <c r="F55" s="55">
        <f t="shared" si="22"/>
        <v>5088.5420364529309</v>
      </c>
      <c r="G55" s="355">
        <f t="shared" si="23"/>
        <v>9815.6984755218255</v>
      </c>
      <c r="H55" s="337">
        <f t="shared" si="24"/>
        <v>9815.6984755218255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22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5088.5420364529309</v>
      </c>
      <c r="E56" s="354">
        <f t="shared" si="21"/>
        <v>5088.5420364529309</v>
      </c>
      <c r="F56" s="55">
        <f t="shared" si="22"/>
        <v>0</v>
      </c>
      <c r="G56" s="355">
        <f t="shared" si="23"/>
        <v>5387.2463380093832</v>
      </c>
      <c r="H56" s="337">
        <f t="shared" si="24"/>
        <v>5387.2463380093832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22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21"/>
        <v>0</v>
      </c>
      <c r="F57" s="55">
        <f t="shared" si="22"/>
        <v>0</v>
      </c>
      <c r="G57" s="355">
        <f t="shared" si="23"/>
        <v>0</v>
      </c>
      <c r="H57" s="337">
        <f t="shared" si="24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22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1"/>
        <v>0</v>
      </c>
      <c r="F58" s="55">
        <f t="shared" si="22"/>
        <v>0</v>
      </c>
      <c r="G58" s="355">
        <f t="shared" si="23"/>
        <v>0</v>
      </c>
      <c r="H58" s="337">
        <f t="shared" si="24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22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1"/>
        <v>0</v>
      </c>
      <c r="F59" s="55">
        <f t="shared" si="22"/>
        <v>0</v>
      </c>
      <c r="G59" s="355">
        <f t="shared" si="23"/>
        <v>0</v>
      </c>
      <c r="H59" s="337">
        <f t="shared" si="24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22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1"/>
        <v>0</v>
      </c>
      <c r="F60" s="55">
        <f t="shared" si="22"/>
        <v>0</v>
      </c>
      <c r="G60" s="355">
        <f t="shared" si="23"/>
        <v>0</v>
      </c>
      <c r="H60" s="337">
        <f t="shared" si="24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22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1"/>
        <v>0</v>
      </c>
      <c r="F61" s="55">
        <f t="shared" si="22"/>
        <v>0</v>
      </c>
      <c r="G61" s="355">
        <f t="shared" si="23"/>
        <v>0</v>
      </c>
      <c r="H61" s="337">
        <f t="shared" si="24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22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1"/>
        <v>0</v>
      </c>
      <c r="F62" s="55">
        <f t="shared" si="22"/>
        <v>0</v>
      </c>
      <c r="G62" s="355">
        <f t="shared" si="23"/>
        <v>0</v>
      </c>
      <c r="H62" s="337">
        <f t="shared" si="24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22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1"/>
        <v>0</v>
      </c>
      <c r="F63" s="55">
        <f t="shared" si="22"/>
        <v>0</v>
      </c>
      <c r="G63" s="355">
        <f t="shared" si="23"/>
        <v>0</v>
      </c>
      <c r="H63" s="337">
        <f t="shared" si="24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22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1"/>
        <v>0</v>
      </c>
      <c r="F64" s="55">
        <f t="shared" si="22"/>
        <v>0</v>
      </c>
      <c r="G64" s="355">
        <f t="shared" si="23"/>
        <v>0</v>
      </c>
      <c r="H64" s="337">
        <f t="shared" si="24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1"/>
        <v>0</v>
      </c>
      <c r="F65" s="55">
        <f t="shared" si="22"/>
        <v>0</v>
      </c>
      <c r="G65" s="355">
        <f t="shared" si="23"/>
        <v>0</v>
      </c>
      <c r="H65" s="337">
        <f t="shared" si="24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1"/>
        <v>0</v>
      </c>
      <c r="F66" s="55">
        <f t="shared" si="22"/>
        <v>0</v>
      </c>
      <c r="G66" s="355">
        <f t="shared" si="23"/>
        <v>0</v>
      </c>
      <c r="H66" s="337">
        <f t="shared" si="24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1"/>
        <v>0</v>
      </c>
      <c r="F67" s="55">
        <f t="shared" si="22"/>
        <v>0</v>
      </c>
      <c r="G67" s="355">
        <f t="shared" si="23"/>
        <v>0</v>
      </c>
      <c r="H67" s="337">
        <f t="shared" si="24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1"/>
        <v>0</v>
      </c>
      <c r="F68" s="55">
        <f t="shared" si="22"/>
        <v>0</v>
      </c>
      <c r="G68" s="355">
        <f t="shared" si="23"/>
        <v>0</v>
      </c>
      <c r="H68" s="337">
        <f t="shared" si="24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1"/>
        <v>0</v>
      </c>
      <c r="F69" s="55">
        <f t="shared" si="22"/>
        <v>0</v>
      </c>
      <c r="G69" s="355">
        <f t="shared" si="23"/>
        <v>0</v>
      </c>
      <c r="H69" s="337">
        <f t="shared" si="24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1"/>
        <v>0</v>
      </c>
      <c r="F70" s="55">
        <f t="shared" si="22"/>
        <v>0</v>
      </c>
      <c r="G70" s="355">
        <f t="shared" si="23"/>
        <v>0</v>
      </c>
      <c r="H70" s="337">
        <f t="shared" si="24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1"/>
        <v>0</v>
      </c>
      <c r="F71" s="55">
        <f t="shared" si="22"/>
        <v>0</v>
      </c>
      <c r="G71" s="355">
        <f t="shared" si="23"/>
        <v>0</v>
      </c>
      <c r="H71" s="337">
        <f t="shared" si="24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1"/>
        <v>0</v>
      </c>
      <c r="F72" s="59">
        <f t="shared" si="22"/>
        <v>0</v>
      </c>
      <c r="G72" s="382">
        <f t="shared" si="23"/>
        <v>0</v>
      </c>
      <c r="H72" s="335">
        <f t="shared" si="24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7"/>
      <c r="E73" s="267">
        <f>SUM(E17:E72)</f>
        <v>330872.35999999987</v>
      </c>
      <c r="F73" s="267"/>
      <c r="G73" s="267">
        <f>SUM(G17:G72)</f>
        <v>1079537.1503598604</v>
      </c>
      <c r="H73" s="267">
        <f>SUM(H17:H72)</f>
        <v>1079537.1503598604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21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40482.116861943046</v>
      </c>
      <c r="N87" s="364">
        <f>IF(J92&lt;D11,0,VLOOKUP(J92,C17:O72,11))</f>
        <v>40482.116861943046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45537.574366980443</v>
      </c>
      <c r="N88" s="367">
        <f>IF(J92&lt;D11,0,VLOOKUP(J92,C99:P154,7))</f>
        <v>45537.574366980443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Darlington-Roman Nose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5055.4575050373969</v>
      </c>
      <c r="N89" s="369">
        <f>+N88-N87</f>
        <v>5055.4575050373969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TP2015027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330872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8942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2017</v>
      </c>
      <c r="D99" s="411">
        <v>0</v>
      </c>
      <c r="E99" s="433">
        <v>3596</v>
      </c>
      <c r="F99" s="411">
        <v>327228</v>
      </c>
      <c r="G99" s="433">
        <v>163614</v>
      </c>
      <c r="H99" s="414">
        <v>24350.848452847567</v>
      </c>
      <c r="I99" s="432">
        <v>24350.848452847567</v>
      </c>
      <c r="J99" s="54">
        <f t="shared" ref="J99:J130" si="25">+I99-H99</f>
        <v>0</v>
      </c>
      <c r="K99" s="54"/>
      <c r="L99" s="53">
        <f>+H99</f>
        <v>24350.848452847567</v>
      </c>
      <c r="M99" s="53">
        <f t="shared" ref="M99:M130" si="26">IF(L99&lt;&gt;0,+H99-L99,0)</f>
        <v>0</v>
      </c>
      <c r="N99" s="53">
        <f>+I99</f>
        <v>24350.848452847567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05">
        <v>327228</v>
      </c>
      <c r="E100" s="406">
        <v>7694</v>
      </c>
      <c r="F100" s="405">
        <v>319534</v>
      </c>
      <c r="G100" s="406">
        <v>323381</v>
      </c>
      <c r="H100" s="428">
        <v>40916.73033605556</v>
      </c>
      <c r="I100" s="405">
        <v>40916.73033605556</v>
      </c>
      <c r="J100" s="54">
        <f t="shared" si="25"/>
        <v>0</v>
      </c>
      <c r="K100" s="54"/>
      <c r="L100" s="324">
        <f>H100</f>
        <v>40916.73033605556</v>
      </c>
      <c r="M100" s="63">
        <f>IF(L100&lt;&gt;0,+H100-L100,0)</f>
        <v>0</v>
      </c>
      <c r="N100" s="324">
        <f>I100</f>
        <v>40916.73033605556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29">IF(D101=F100,"","IU")</f>
        <v>IU</v>
      </c>
      <c r="C101" s="50">
        <f>IF(D93="","-",+C100+1)</f>
        <v>2019</v>
      </c>
      <c r="D101" s="405">
        <v>319582</v>
      </c>
      <c r="E101" s="406">
        <v>8070</v>
      </c>
      <c r="F101" s="405">
        <v>311512</v>
      </c>
      <c r="G101" s="406">
        <v>315547</v>
      </c>
      <c r="H101" s="428">
        <v>40607.321587664657</v>
      </c>
      <c r="I101" s="405">
        <v>40607.321587664657</v>
      </c>
      <c r="J101" s="54">
        <f t="shared" si="25"/>
        <v>0</v>
      </c>
      <c r="K101" s="54"/>
      <c r="L101" s="324">
        <f>H101</f>
        <v>40607.321587664657</v>
      </c>
      <c r="M101" s="63">
        <f>IF(L101&lt;&gt;0,+H101-L101,0)</f>
        <v>0</v>
      </c>
      <c r="N101" s="324">
        <f>I101</f>
        <v>40607.321587664657</v>
      </c>
      <c r="O101" s="54">
        <f t="shared" si="27"/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2020</v>
      </c>
      <c r="D102" s="405">
        <v>311512</v>
      </c>
      <c r="E102" s="406">
        <v>7695</v>
      </c>
      <c r="F102" s="405">
        <v>303817</v>
      </c>
      <c r="G102" s="406">
        <v>307664.5</v>
      </c>
      <c r="H102" s="428">
        <v>43167.870996202138</v>
      </c>
      <c r="I102" s="405">
        <v>43167.870996202138</v>
      </c>
      <c r="J102" s="54">
        <f t="shared" si="25"/>
        <v>0</v>
      </c>
      <c r="K102" s="54"/>
      <c r="L102" s="324">
        <f>H102</f>
        <v>43167.870996202138</v>
      </c>
      <c r="M102" s="63">
        <f>IF(L102&lt;&gt;0,+H102-L102,0)</f>
        <v>0</v>
      </c>
      <c r="N102" s="324">
        <f>I102</f>
        <v>43167.870996202138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2021</v>
      </c>
      <c r="D103" s="405">
        <v>303817</v>
      </c>
      <c r="E103" s="406">
        <v>8070</v>
      </c>
      <c r="F103" s="405">
        <v>295747</v>
      </c>
      <c r="G103" s="406">
        <v>299782</v>
      </c>
      <c r="H103" s="428">
        <v>42183.031080558285</v>
      </c>
      <c r="I103" s="405">
        <v>42183.031080558285</v>
      </c>
      <c r="J103" s="54">
        <f t="shared" si="25"/>
        <v>0</v>
      </c>
      <c r="K103" s="54"/>
      <c r="L103" s="324">
        <f>H103</f>
        <v>42183.031080558285</v>
      </c>
      <c r="M103" s="63">
        <f>IF(L103&lt;&gt;0,+H103-L103,0)</f>
        <v>0</v>
      </c>
      <c r="N103" s="324">
        <f>I103</f>
        <v>42183.031080558285</v>
      </c>
      <c r="O103" s="54">
        <f t="shared" ref="O103" si="30">IF(N103&lt;&gt;0,+I103-N103,0)</f>
        <v>0</v>
      </c>
      <c r="P103" s="54">
        <f t="shared" ref="P103" si="31">+O103-M103</f>
        <v>0</v>
      </c>
    </row>
    <row r="104" spans="1:16" ht="12.5">
      <c r="B104" s="7" t="str">
        <f t="shared" si="29"/>
        <v/>
      </c>
      <c r="C104" s="450">
        <f>IF(D93="","-",+C103+1)</f>
        <v>2022</v>
      </c>
      <c r="D104" s="405">
        <v>295747</v>
      </c>
      <c r="E104" s="406">
        <v>8484</v>
      </c>
      <c r="F104" s="405">
        <v>287263</v>
      </c>
      <c r="G104" s="406">
        <v>291505</v>
      </c>
      <c r="H104" s="428">
        <v>40602.794226516286</v>
      </c>
      <c r="I104" s="405">
        <v>40602.794226516286</v>
      </c>
      <c r="J104" s="54">
        <f t="shared" si="25"/>
        <v>0</v>
      </c>
      <c r="K104" s="54"/>
      <c r="L104" s="324">
        <f t="shared" ref="L104:L105" si="32">H104</f>
        <v>40602.794226516286</v>
      </c>
      <c r="M104" s="63">
        <f t="shared" ref="M104:M105" si="33">IF(L104&lt;&gt;0,+H104-L104,0)</f>
        <v>0</v>
      </c>
      <c r="N104" s="324">
        <f t="shared" ref="N104:N105" si="34">I104</f>
        <v>40602.794226516286</v>
      </c>
      <c r="O104" s="54">
        <f t="shared" ref="O104:O105" si="35">IF(N104&lt;&gt;0,+I104-N104,0)</f>
        <v>0</v>
      </c>
      <c r="P104" s="54">
        <f t="shared" ref="P104:P105" si="36">+O104-M104</f>
        <v>0</v>
      </c>
    </row>
    <row r="105" spans="1:16" ht="12.5">
      <c r="B105" s="7" t="str">
        <f t="shared" si="29"/>
        <v/>
      </c>
      <c r="C105" s="50">
        <f>IF(D93="","-",+C104+1)</f>
        <v>2023</v>
      </c>
      <c r="D105" s="405">
        <v>287263</v>
      </c>
      <c r="E105" s="406">
        <v>8707</v>
      </c>
      <c r="F105" s="405">
        <v>278556</v>
      </c>
      <c r="G105" s="406">
        <v>282909.5</v>
      </c>
      <c r="H105" s="428">
        <v>41022.918466393006</v>
      </c>
      <c r="I105" s="405">
        <v>41022.918466393006</v>
      </c>
      <c r="J105" s="54">
        <f t="shared" si="25"/>
        <v>0</v>
      </c>
      <c r="K105" s="54"/>
      <c r="L105" s="324">
        <f t="shared" si="32"/>
        <v>41022.918466393006</v>
      </c>
      <c r="M105" s="63">
        <f t="shared" si="33"/>
        <v>0</v>
      </c>
      <c r="N105" s="324">
        <f t="shared" si="34"/>
        <v>41022.918466393006</v>
      </c>
      <c r="O105" s="54">
        <f t="shared" si="35"/>
        <v>0</v>
      </c>
      <c r="P105" s="54">
        <f t="shared" si="36"/>
        <v>0</v>
      </c>
    </row>
    <row r="106" spans="1:16" ht="12.5">
      <c r="B106" s="7" t="str">
        <f t="shared" si="29"/>
        <v>IU</v>
      </c>
      <c r="C106" s="50">
        <f>IF(D93="","-",+C105+1)</f>
        <v>2024</v>
      </c>
      <c r="D106" s="405">
        <v>278556.36</v>
      </c>
      <c r="E106" s="406">
        <v>8707</v>
      </c>
      <c r="F106" s="405">
        <v>269849.36</v>
      </c>
      <c r="G106" s="406">
        <v>274202.86</v>
      </c>
      <c r="H106" s="428">
        <v>45537.574366980443</v>
      </c>
      <c r="I106" s="405">
        <v>45537.574366980443</v>
      </c>
      <c r="J106" s="54">
        <f t="shared" si="25"/>
        <v>0</v>
      </c>
      <c r="K106" s="54"/>
      <c r="L106" s="324">
        <f t="shared" ref="L106" si="37">H106</f>
        <v>45537.574366980443</v>
      </c>
      <c r="M106" s="63">
        <f t="shared" ref="M106" si="38">IF(L106&lt;&gt;0,+H106-L106,0)</f>
        <v>0</v>
      </c>
      <c r="N106" s="324">
        <f t="shared" ref="N106" si="39">I106</f>
        <v>45537.574366980443</v>
      </c>
      <c r="O106" s="54">
        <f t="shared" ref="O106" si="40">IF(N106&lt;&gt;0,+I106-N106,0)</f>
        <v>0</v>
      </c>
      <c r="P106" s="54">
        <f t="shared" ref="P106" si="41">+O106-M106</f>
        <v>0</v>
      </c>
    </row>
    <row r="107" spans="1:16" ht="12.5">
      <c r="B107" s="7" t="str">
        <f t="shared" si="29"/>
        <v>IU</v>
      </c>
      <c r="C107" s="50">
        <f>IF(D93="","-",+C106+1)</f>
        <v>2025</v>
      </c>
      <c r="D107" s="12">
        <f>IF(F106+SUM(E$99:E106)=D$92,F106,D$92-SUM(E$99:E106))</f>
        <v>269849</v>
      </c>
      <c r="E107" s="354">
        <f t="shared" ref="E107:E154" si="42">IF(+J$96&lt;F106,J$96,D107)</f>
        <v>8942</v>
      </c>
      <c r="F107" s="55">
        <f t="shared" ref="F107:F154" si="43">+D107-E107</f>
        <v>260907</v>
      </c>
      <c r="G107" s="55">
        <f t="shared" ref="G107:G154" si="44">+(F107+D107)/2</f>
        <v>265378</v>
      </c>
      <c r="H107" s="436">
        <f t="shared" ref="H107:H154" si="45">+J$94*G107+E107</f>
        <v>44587.230557991032</v>
      </c>
      <c r="I107" s="437">
        <f t="shared" ref="I107:I154" si="46">+J$95*G107+E107</f>
        <v>44587.230557991032</v>
      </c>
      <c r="J107" s="54">
        <f t="shared" si="25"/>
        <v>0</v>
      </c>
      <c r="K107" s="54"/>
      <c r="L107" s="115"/>
      <c r="M107" s="54">
        <f t="shared" si="26"/>
        <v>0</v>
      </c>
      <c r="N107" s="115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2026</v>
      </c>
      <c r="D108" s="12">
        <f>IF(F107+SUM(E$99:E107)=D$92,F107,D$92-SUM(E$99:E107))</f>
        <v>260907</v>
      </c>
      <c r="E108" s="354">
        <f t="shared" si="42"/>
        <v>8942</v>
      </c>
      <c r="F108" s="55">
        <f t="shared" si="43"/>
        <v>251965</v>
      </c>
      <c r="G108" s="55">
        <f t="shared" si="44"/>
        <v>256436</v>
      </c>
      <c r="H108" s="436">
        <f t="shared" si="45"/>
        <v>43386.152655340637</v>
      </c>
      <c r="I108" s="437">
        <f t="shared" si="46"/>
        <v>43386.152655340637</v>
      </c>
      <c r="J108" s="54">
        <f t="shared" si="25"/>
        <v>0</v>
      </c>
      <c r="K108" s="54"/>
      <c r="L108" s="115"/>
      <c r="M108" s="54">
        <f t="shared" si="26"/>
        <v>0</v>
      </c>
      <c r="N108" s="115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2027</v>
      </c>
      <c r="D109" s="12">
        <f>IF(F108+SUM(E$99:E108)=D$92,F108,D$92-SUM(E$99:E108))</f>
        <v>251965</v>
      </c>
      <c r="E109" s="354">
        <f t="shared" si="42"/>
        <v>8942</v>
      </c>
      <c r="F109" s="55">
        <f t="shared" si="43"/>
        <v>243023</v>
      </c>
      <c r="G109" s="55">
        <f t="shared" si="44"/>
        <v>247494</v>
      </c>
      <c r="H109" s="436">
        <f t="shared" si="45"/>
        <v>42185.074752690241</v>
      </c>
      <c r="I109" s="437">
        <f t="shared" si="46"/>
        <v>42185.074752690241</v>
      </c>
      <c r="J109" s="54">
        <f t="shared" si="25"/>
        <v>0</v>
      </c>
      <c r="K109" s="54"/>
      <c r="L109" s="115"/>
      <c r="M109" s="54">
        <f t="shared" si="26"/>
        <v>0</v>
      </c>
      <c r="N109" s="115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2028</v>
      </c>
      <c r="D110" s="12">
        <f>IF(F109+SUM(E$99:E109)=D$92,F109,D$92-SUM(E$99:E109))</f>
        <v>243023</v>
      </c>
      <c r="E110" s="354">
        <f t="shared" si="42"/>
        <v>8942</v>
      </c>
      <c r="F110" s="55">
        <f t="shared" si="43"/>
        <v>234081</v>
      </c>
      <c r="G110" s="55">
        <f t="shared" si="44"/>
        <v>238552</v>
      </c>
      <c r="H110" s="436">
        <f t="shared" si="45"/>
        <v>40983.996850039854</v>
      </c>
      <c r="I110" s="437">
        <f t="shared" si="46"/>
        <v>40983.996850039854</v>
      </c>
      <c r="J110" s="54">
        <f t="shared" si="25"/>
        <v>0</v>
      </c>
      <c r="K110" s="54"/>
      <c r="L110" s="115"/>
      <c r="M110" s="54">
        <f t="shared" si="26"/>
        <v>0</v>
      </c>
      <c r="N110" s="115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2029</v>
      </c>
      <c r="D111" s="12">
        <f>IF(F110+SUM(E$99:E110)=D$92,F110,D$92-SUM(E$99:E110))</f>
        <v>234081</v>
      </c>
      <c r="E111" s="354">
        <f t="shared" si="42"/>
        <v>8942</v>
      </c>
      <c r="F111" s="55">
        <f t="shared" si="43"/>
        <v>225139</v>
      </c>
      <c r="G111" s="55">
        <f t="shared" si="44"/>
        <v>229610</v>
      </c>
      <c r="H111" s="436">
        <f t="shared" si="45"/>
        <v>39782.918947389458</v>
      </c>
      <c r="I111" s="437">
        <f t="shared" si="46"/>
        <v>39782.918947389458</v>
      </c>
      <c r="J111" s="54">
        <f t="shared" si="25"/>
        <v>0</v>
      </c>
      <c r="K111" s="54"/>
      <c r="L111" s="115"/>
      <c r="M111" s="54">
        <f t="shared" si="26"/>
        <v>0</v>
      </c>
      <c r="N111" s="115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2030</v>
      </c>
      <c r="D112" s="12">
        <f>IF(F111+SUM(E$99:E111)=D$92,F111,D$92-SUM(E$99:E111))</f>
        <v>225139</v>
      </c>
      <c r="E112" s="354">
        <f t="shared" si="42"/>
        <v>8942</v>
      </c>
      <c r="F112" s="55">
        <f t="shared" si="43"/>
        <v>216197</v>
      </c>
      <c r="G112" s="55">
        <f t="shared" si="44"/>
        <v>220668</v>
      </c>
      <c r="H112" s="436">
        <f t="shared" si="45"/>
        <v>38581.841044739063</v>
      </c>
      <c r="I112" s="437">
        <f t="shared" si="46"/>
        <v>38581.841044739063</v>
      </c>
      <c r="J112" s="54">
        <f t="shared" si="25"/>
        <v>0</v>
      </c>
      <c r="K112" s="54"/>
      <c r="L112" s="115"/>
      <c r="M112" s="54">
        <f t="shared" si="26"/>
        <v>0</v>
      </c>
      <c r="N112" s="115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2031</v>
      </c>
      <c r="D113" s="12">
        <f>IF(F112+SUM(E$99:E112)=D$92,F112,D$92-SUM(E$99:E112))</f>
        <v>216197</v>
      </c>
      <c r="E113" s="354">
        <f t="shared" si="42"/>
        <v>8942</v>
      </c>
      <c r="F113" s="55">
        <f t="shared" si="43"/>
        <v>207255</v>
      </c>
      <c r="G113" s="55">
        <f t="shared" si="44"/>
        <v>211726</v>
      </c>
      <c r="H113" s="436">
        <f t="shared" si="45"/>
        <v>37380.763142088676</v>
      </c>
      <c r="I113" s="437">
        <f t="shared" si="46"/>
        <v>37380.763142088676</v>
      </c>
      <c r="J113" s="54">
        <f t="shared" si="25"/>
        <v>0</v>
      </c>
      <c r="K113" s="54"/>
      <c r="L113" s="115"/>
      <c r="M113" s="54">
        <f t="shared" si="26"/>
        <v>0</v>
      </c>
      <c r="N113" s="115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2032</v>
      </c>
      <c r="D114" s="12">
        <f>IF(F113+SUM(E$99:E113)=D$92,F113,D$92-SUM(E$99:E113))</f>
        <v>207255</v>
      </c>
      <c r="E114" s="354">
        <f t="shared" si="42"/>
        <v>8942</v>
      </c>
      <c r="F114" s="55">
        <f t="shared" si="43"/>
        <v>198313</v>
      </c>
      <c r="G114" s="55">
        <f t="shared" si="44"/>
        <v>202784</v>
      </c>
      <c r="H114" s="436">
        <f t="shared" si="45"/>
        <v>36179.685239438288</v>
      </c>
      <c r="I114" s="437">
        <f t="shared" si="46"/>
        <v>36179.685239438288</v>
      </c>
      <c r="J114" s="54">
        <f t="shared" si="25"/>
        <v>0</v>
      </c>
      <c r="K114" s="54"/>
      <c r="L114" s="115"/>
      <c r="M114" s="54">
        <f t="shared" si="26"/>
        <v>0</v>
      </c>
      <c r="N114" s="115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2033</v>
      </c>
      <c r="D115" s="12">
        <f>IF(F114+SUM(E$99:E114)=D$92,F114,D$92-SUM(E$99:E114))</f>
        <v>198313</v>
      </c>
      <c r="E115" s="354">
        <f t="shared" si="42"/>
        <v>8942</v>
      </c>
      <c r="F115" s="55">
        <f t="shared" si="43"/>
        <v>189371</v>
      </c>
      <c r="G115" s="55">
        <f t="shared" si="44"/>
        <v>193842</v>
      </c>
      <c r="H115" s="436">
        <f t="shared" si="45"/>
        <v>34978.607336787893</v>
      </c>
      <c r="I115" s="437">
        <f t="shared" si="46"/>
        <v>34978.607336787893</v>
      </c>
      <c r="J115" s="54">
        <f t="shared" si="25"/>
        <v>0</v>
      </c>
      <c r="K115" s="54"/>
      <c r="L115" s="115"/>
      <c r="M115" s="54">
        <f t="shared" si="26"/>
        <v>0</v>
      </c>
      <c r="N115" s="115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2034</v>
      </c>
      <c r="D116" s="12">
        <f>IF(F115+SUM(E$99:E115)=D$92,F115,D$92-SUM(E$99:E115))</f>
        <v>189371</v>
      </c>
      <c r="E116" s="354">
        <f t="shared" si="42"/>
        <v>8942</v>
      </c>
      <c r="F116" s="55">
        <f t="shared" si="43"/>
        <v>180429</v>
      </c>
      <c r="G116" s="55">
        <f t="shared" si="44"/>
        <v>184900</v>
      </c>
      <c r="H116" s="436">
        <f t="shared" si="45"/>
        <v>33777.529434137497</v>
      </c>
      <c r="I116" s="437">
        <f t="shared" si="46"/>
        <v>33777.529434137497</v>
      </c>
      <c r="J116" s="54">
        <f t="shared" si="25"/>
        <v>0</v>
      </c>
      <c r="K116" s="54"/>
      <c r="L116" s="115"/>
      <c r="M116" s="54">
        <f t="shared" si="26"/>
        <v>0</v>
      </c>
      <c r="N116" s="115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2035</v>
      </c>
      <c r="D117" s="12">
        <f>IF(F116+SUM(E$99:E116)=D$92,F116,D$92-SUM(E$99:E116))</f>
        <v>180429</v>
      </c>
      <c r="E117" s="354">
        <f t="shared" si="42"/>
        <v>8942</v>
      </c>
      <c r="F117" s="55">
        <f t="shared" si="43"/>
        <v>171487</v>
      </c>
      <c r="G117" s="55">
        <f t="shared" si="44"/>
        <v>175958</v>
      </c>
      <c r="H117" s="436">
        <f t="shared" si="45"/>
        <v>32576.451531487106</v>
      </c>
      <c r="I117" s="437">
        <f t="shared" si="46"/>
        <v>32576.451531487106</v>
      </c>
      <c r="J117" s="54">
        <f t="shared" si="25"/>
        <v>0</v>
      </c>
      <c r="K117" s="54"/>
      <c r="L117" s="115"/>
      <c r="M117" s="54">
        <f t="shared" si="26"/>
        <v>0</v>
      </c>
      <c r="N117" s="115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2036</v>
      </c>
      <c r="D118" s="12">
        <f>IF(F117+SUM(E$99:E117)=D$92,F117,D$92-SUM(E$99:E117))</f>
        <v>171487</v>
      </c>
      <c r="E118" s="354">
        <f t="shared" si="42"/>
        <v>8942</v>
      </c>
      <c r="F118" s="55">
        <f t="shared" si="43"/>
        <v>162545</v>
      </c>
      <c r="G118" s="55">
        <f t="shared" si="44"/>
        <v>167016</v>
      </c>
      <c r="H118" s="436">
        <f t="shared" si="45"/>
        <v>31375.373628836714</v>
      </c>
      <c r="I118" s="437">
        <f t="shared" si="46"/>
        <v>31375.373628836714</v>
      </c>
      <c r="J118" s="54">
        <f t="shared" si="25"/>
        <v>0</v>
      </c>
      <c r="K118" s="54"/>
      <c r="L118" s="115"/>
      <c r="M118" s="54">
        <f t="shared" si="26"/>
        <v>0</v>
      </c>
      <c r="N118" s="115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2037</v>
      </c>
      <c r="D119" s="12">
        <f>IF(F118+SUM(E$99:E118)=D$92,F118,D$92-SUM(E$99:E118))</f>
        <v>162545</v>
      </c>
      <c r="E119" s="354">
        <f t="shared" si="42"/>
        <v>8942</v>
      </c>
      <c r="F119" s="55">
        <f t="shared" si="43"/>
        <v>153603</v>
      </c>
      <c r="G119" s="55">
        <f t="shared" si="44"/>
        <v>158074</v>
      </c>
      <c r="H119" s="436">
        <f t="shared" si="45"/>
        <v>30174.295726186323</v>
      </c>
      <c r="I119" s="437">
        <f t="shared" si="46"/>
        <v>30174.295726186323</v>
      </c>
      <c r="J119" s="54">
        <f t="shared" si="25"/>
        <v>0</v>
      </c>
      <c r="K119" s="54"/>
      <c r="L119" s="115"/>
      <c r="M119" s="54">
        <f t="shared" si="26"/>
        <v>0</v>
      </c>
      <c r="N119" s="115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2038</v>
      </c>
      <c r="D120" s="12">
        <f>IF(F119+SUM(E$99:E119)=D$92,F119,D$92-SUM(E$99:E119))</f>
        <v>153603</v>
      </c>
      <c r="E120" s="354">
        <f t="shared" si="42"/>
        <v>8942</v>
      </c>
      <c r="F120" s="55">
        <f t="shared" si="43"/>
        <v>144661</v>
      </c>
      <c r="G120" s="55">
        <f t="shared" si="44"/>
        <v>149132</v>
      </c>
      <c r="H120" s="436">
        <f t="shared" si="45"/>
        <v>28973.217823535932</v>
      </c>
      <c r="I120" s="437">
        <f t="shared" si="46"/>
        <v>28973.217823535932</v>
      </c>
      <c r="J120" s="54">
        <f t="shared" si="25"/>
        <v>0</v>
      </c>
      <c r="K120" s="54"/>
      <c r="L120" s="115"/>
      <c r="M120" s="54">
        <f t="shared" si="26"/>
        <v>0</v>
      </c>
      <c r="N120" s="115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2039</v>
      </c>
      <c r="D121" s="12">
        <f>IF(F120+SUM(E$99:E120)=D$92,F120,D$92-SUM(E$99:E120))</f>
        <v>144661</v>
      </c>
      <c r="E121" s="354">
        <f t="shared" si="42"/>
        <v>8942</v>
      </c>
      <c r="F121" s="55">
        <f t="shared" si="43"/>
        <v>135719</v>
      </c>
      <c r="G121" s="55">
        <f t="shared" si="44"/>
        <v>140190</v>
      </c>
      <c r="H121" s="436">
        <f t="shared" si="45"/>
        <v>27772.139920885536</v>
      </c>
      <c r="I121" s="437">
        <f t="shared" si="46"/>
        <v>27772.139920885536</v>
      </c>
      <c r="J121" s="54">
        <f t="shared" si="25"/>
        <v>0</v>
      </c>
      <c r="K121" s="54"/>
      <c r="L121" s="115"/>
      <c r="M121" s="54">
        <f t="shared" si="26"/>
        <v>0</v>
      </c>
      <c r="N121" s="115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2040</v>
      </c>
      <c r="D122" s="12">
        <f>IF(F121+SUM(E$99:E121)=D$92,F121,D$92-SUM(E$99:E121))</f>
        <v>135719</v>
      </c>
      <c r="E122" s="354">
        <f t="shared" si="42"/>
        <v>8942</v>
      </c>
      <c r="F122" s="55">
        <f t="shared" si="43"/>
        <v>126777</v>
      </c>
      <c r="G122" s="55">
        <f t="shared" si="44"/>
        <v>131248</v>
      </c>
      <c r="H122" s="436">
        <f t="shared" si="45"/>
        <v>26571.062018235145</v>
      </c>
      <c r="I122" s="437">
        <f t="shared" si="46"/>
        <v>26571.062018235145</v>
      </c>
      <c r="J122" s="54">
        <f t="shared" si="25"/>
        <v>0</v>
      </c>
      <c r="K122" s="54"/>
      <c r="L122" s="115"/>
      <c r="M122" s="54">
        <f t="shared" si="26"/>
        <v>0</v>
      </c>
      <c r="N122" s="115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2041</v>
      </c>
      <c r="D123" s="12">
        <f>IF(F122+SUM(E$99:E122)=D$92,F122,D$92-SUM(E$99:E122))</f>
        <v>126777</v>
      </c>
      <c r="E123" s="354">
        <f t="shared" si="42"/>
        <v>8942</v>
      </c>
      <c r="F123" s="55">
        <f t="shared" si="43"/>
        <v>117835</v>
      </c>
      <c r="G123" s="55">
        <f t="shared" si="44"/>
        <v>122306</v>
      </c>
      <c r="H123" s="436">
        <f t="shared" si="45"/>
        <v>25369.984115584753</v>
      </c>
      <c r="I123" s="437">
        <f t="shared" si="46"/>
        <v>25369.984115584753</v>
      </c>
      <c r="J123" s="54">
        <f t="shared" si="25"/>
        <v>0</v>
      </c>
      <c r="K123" s="54"/>
      <c r="L123" s="115"/>
      <c r="M123" s="54">
        <f t="shared" si="26"/>
        <v>0</v>
      </c>
      <c r="N123" s="115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2042</v>
      </c>
      <c r="D124" s="12">
        <f>IF(F123+SUM(E$99:E123)=D$92,F123,D$92-SUM(E$99:E123))</f>
        <v>117835</v>
      </c>
      <c r="E124" s="354">
        <f t="shared" si="42"/>
        <v>8942</v>
      </c>
      <c r="F124" s="55">
        <f t="shared" si="43"/>
        <v>108893</v>
      </c>
      <c r="G124" s="55">
        <f t="shared" si="44"/>
        <v>113364</v>
      </c>
      <c r="H124" s="436">
        <f t="shared" si="45"/>
        <v>24168.906212934362</v>
      </c>
      <c r="I124" s="437">
        <f t="shared" si="46"/>
        <v>24168.906212934362</v>
      </c>
      <c r="J124" s="54">
        <f t="shared" si="25"/>
        <v>0</v>
      </c>
      <c r="K124" s="54"/>
      <c r="L124" s="115"/>
      <c r="M124" s="54">
        <f t="shared" si="26"/>
        <v>0</v>
      </c>
      <c r="N124" s="115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2043</v>
      </c>
      <c r="D125" s="12">
        <f>IF(F124+SUM(E$99:E124)=D$92,F124,D$92-SUM(E$99:E124))</f>
        <v>108893</v>
      </c>
      <c r="E125" s="354">
        <f t="shared" si="42"/>
        <v>8942</v>
      </c>
      <c r="F125" s="55">
        <f t="shared" si="43"/>
        <v>99951</v>
      </c>
      <c r="G125" s="55">
        <f t="shared" si="44"/>
        <v>104422</v>
      </c>
      <c r="H125" s="436">
        <f t="shared" si="45"/>
        <v>22967.82831028397</v>
      </c>
      <c r="I125" s="437">
        <f t="shared" si="46"/>
        <v>22967.82831028397</v>
      </c>
      <c r="J125" s="54">
        <f t="shared" si="25"/>
        <v>0</v>
      </c>
      <c r="K125" s="54"/>
      <c r="L125" s="115"/>
      <c r="M125" s="54">
        <f t="shared" si="26"/>
        <v>0</v>
      </c>
      <c r="N125" s="115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2044</v>
      </c>
      <c r="D126" s="12">
        <f>IF(F125+SUM(E$99:E125)=D$92,F125,D$92-SUM(E$99:E125))</f>
        <v>99951</v>
      </c>
      <c r="E126" s="354">
        <f t="shared" si="42"/>
        <v>8942</v>
      </c>
      <c r="F126" s="55">
        <f t="shared" si="43"/>
        <v>91009</v>
      </c>
      <c r="G126" s="55">
        <f t="shared" si="44"/>
        <v>95480</v>
      </c>
      <c r="H126" s="436">
        <f t="shared" si="45"/>
        <v>21766.750407633575</v>
      </c>
      <c r="I126" s="437">
        <f t="shared" si="46"/>
        <v>21766.750407633575</v>
      </c>
      <c r="J126" s="54">
        <f t="shared" si="25"/>
        <v>0</v>
      </c>
      <c r="K126" s="54"/>
      <c r="L126" s="115"/>
      <c r="M126" s="54">
        <f t="shared" si="26"/>
        <v>0</v>
      </c>
      <c r="N126" s="115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2045</v>
      </c>
      <c r="D127" s="12">
        <f>IF(F126+SUM(E$99:E126)=D$92,F126,D$92-SUM(E$99:E126))</f>
        <v>91009</v>
      </c>
      <c r="E127" s="354">
        <f t="shared" si="42"/>
        <v>8942</v>
      </c>
      <c r="F127" s="55">
        <f t="shared" si="43"/>
        <v>82067</v>
      </c>
      <c r="G127" s="55">
        <f t="shared" si="44"/>
        <v>86538</v>
      </c>
      <c r="H127" s="436">
        <f t="shared" si="45"/>
        <v>20565.672504983188</v>
      </c>
      <c r="I127" s="437">
        <f t="shared" si="46"/>
        <v>20565.672504983188</v>
      </c>
      <c r="J127" s="54">
        <f t="shared" si="25"/>
        <v>0</v>
      </c>
      <c r="K127" s="54"/>
      <c r="L127" s="115"/>
      <c r="M127" s="54">
        <f t="shared" si="26"/>
        <v>0</v>
      </c>
      <c r="N127" s="115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2046</v>
      </c>
      <c r="D128" s="12">
        <f>IF(F127+SUM(E$99:E127)=D$92,F127,D$92-SUM(E$99:E127))</f>
        <v>82067</v>
      </c>
      <c r="E128" s="354">
        <f t="shared" si="42"/>
        <v>8942</v>
      </c>
      <c r="F128" s="55">
        <f t="shared" si="43"/>
        <v>73125</v>
      </c>
      <c r="G128" s="55">
        <f t="shared" si="44"/>
        <v>77596</v>
      </c>
      <c r="H128" s="436">
        <f t="shared" si="45"/>
        <v>19364.594602332792</v>
      </c>
      <c r="I128" s="437">
        <f t="shared" si="46"/>
        <v>19364.594602332792</v>
      </c>
      <c r="J128" s="54">
        <f t="shared" si="25"/>
        <v>0</v>
      </c>
      <c r="K128" s="54"/>
      <c r="L128" s="115"/>
      <c r="M128" s="54">
        <f t="shared" si="26"/>
        <v>0</v>
      </c>
      <c r="N128" s="115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2047</v>
      </c>
      <c r="D129" s="12">
        <f>IF(F128+SUM(E$99:E128)=D$92,F128,D$92-SUM(E$99:E128))</f>
        <v>73125</v>
      </c>
      <c r="E129" s="354">
        <f t="shared" si="42"/>
        <v>8942</v>
      </c>
      <c r="F129" s="55">
        <f t="shared" si="43"/>
        <v>64183</v>
      </c>
      <c r="G129" s="55">
        <f t="shared" si="44"/>
        <v>68654</v>
      </c>
      <c r="H129" s="436">
        <f t="shared" si="45"/>
        <v>18163.516699682401</v>
      </c>
      <c r="I129" s="437">
        <f t="shared" si="46"/>
        <v>18163.516699682401</v>
      </c>
      <c r="J129" s="54">
        <f t="shared" si="25"/>
        <v>0</v>
      </c>
      <c r="K129" s="54"/>
      <c r="L129" s="115"/>
      <c r="M129" s="54">
        <f t="shared" si="26"/>
        <v>0</v>
      </c>
      <c r="N129" s="115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2048</v>
      </c>
      <c r="D130" s="12">
        <f>IF(F129+SUM(E$99:E129)=D$92,F129,D$92-SUM(E$99:E129))</f>
        <v>64183</v>
      </c>
      <c r="E130" s="354">
        <f t="shared" si="42"/>
        <v>8942</v>
      </c>
      <c r="F130" s="55">
        <f t="shared" si="43"/>
        <v>55241</v>
      </c>
      <c r="G130" s="55">
        <f t="shared" si="44"/>
        <v>59712</v>
      </c>
      <c r="H130" s="436">
        <f t="shared" si="45"/>
        <v>16962.438797032009</v>
      </c>
      <c r="I130" s="437">
        <f t="shared" si="46"/>
        <v>16962.438797032009</v>
      </c>
      <c r="J130" s="54">
        <f t="shared" si="25"/>
        <v>0</v>
      </c>
      <c r="K130" s="54"/>
      <c r="L130" s="115"/>
      <c r="M130" s="54">
        <f t="shared" si="26"/>
        <v>0</v>
      </c>
      <c r="N130" s="115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2049</v>
      </c>
      <c r="D131" s="12">
        <f>IF(F130+SUM(E$99:E130)=D$92,F130,D$92-SUM(E$99:E130))</f>
        <v>55241</v>
      </c>
      <c r="E131" s="354">
        <f t="shared" si="42"/>
        <v>8942</v>
      </c>
      <c r="F131" s="55">
        <f t="shared" si="43"/>
        <v>46299</v>
      </c>
      <c r="G131" s="55">
        <f t="shared" si="44"/>
        <v>50770</v>
      </c>
      <c r="H131" s="436">
        <f t="shared" si="45"/>
        <v>15761.360894381616</v>
      </c>
      <c r="I131" s="437">
        <f t="shared" si="46"/>
        <v>15761.360894381616</v>
      </c>
      <c r="J131" s="54">
        <f t="shared" ref="J131:J154" si="47">+I540-H540</f>
        <v>0</v>
      </c>
      <c r="K131" s="54"/>
      <c r="L131" s="115"/>
      <c r="M131" s="54">
        <f t="shared" ref="M131:M154" si="48">IF(L540&lt;&gt;0,+H540-L540,0)</f>
        <v>0</v>
      </c>
      <c r="N131" s="115"/>
      <c r="O131" s="54">
        <f t="shared" ref="O131:O154" si="49">IF(N540&lt;&gt;0,+I540-N540,0)</f>
        <v>0</v>
      </c>
      <c r="P131" s="54">
        <f t="shared" ref="P131:P154" si="50">+O540-M540</f>
        <v>0</v>
      </c>
    </row>
    <row r="132" spans="2:16" ht="12.5">
      <c r="B132" s="7" t="str">
        <f t="shared" si="29"/>
        <v/>
      </c>
      <c r="C132" s="50">
        <f>IF(D93="","-",+C131+1)</f>
        <v>2050</v>
      </c>
      <c r="D132" s="12">
        <f>IF(F131+SUM(E$99:E131)=D$92,F131,D$92-SUM(E$99:E131))</f>
        <v>46299</v>
      </c>
      <c r="E132" s="354">
        <f t="shared" si="42"/>
        <v>8942</v>
      </c>
      <c r="F132" s="55">
        <f t="shared" si="43"/>
        <v>37357</v>
      </c>
      <c r="G132" s="55">
        <f t="shared" si="44"/>
        <v>41828</v>
      </c>
      <c r="H132" s="436">
        <f t="shared" si="45"/>
        <v>14560.282991731223</v>
      </c>
      <c r="I132" s="437">
        <f t="shared" si="46"/>
        <v>14560.282991731223</v>
      </c>
      <c r="J132" s="54">
        <f t="shared" si="47"/>
        <v>0</v>
      </c>
      <c r="K132" s="54"/>
      <c r="L132" s="115"/>
      <c r="M132" s="54">
        <f t="shared" si="48"/>
        <v>0</v>
      </c>
      <c r="N132" s="115"/>
      <c r="O132" s="54">
        <f t="shared" si="49"/>
        <v>0</v>
      </c>
      <c r="P132" s="54">
        <f t="shared" si="50"/>
        <v>0</v>
      </c>
    </row>
    <row r="133" spans="2:16" ht="12.5">
      <c r="B133" s="7" t="str">
        <f t="shared" si="29"/>
        <v/>
      </c>
      <c r="C133" s="50">
        <f>IF(D93="","-",+C132+1)</f>
        <v>2051</v>
      </c>
      <c r="D133" s="12">
        <f>IF(F132+SUM(E$99:E132)=D$92,F132,D$92-SUM(E$99:E132))</f>
        <v>37357</v>
      </c>
      <c r="E133" s="354">
        <f t="shared" si="42"/>
        <v>8942</v>
      </c>
      <c r="F133" s="55">
        <f t="shared" si="43"/>
        <v>28415</v>
      </c>
      <c r="G133" s="55">
        <f t="shared" si="44"/>
        <v>32886</v>
      </c>
      <c r="H133" s="436">
        <f t="shared" si="45"/>
        <v>13359.205089080831</v>
      </c>
      <c r="I133" s="437">
        <f t="shared" si="46"/>
        <v>13359.205089080831</v>
      </c>
      <c r="J133" s="54">
        <f t="shared" si="47"/>
        <v>0</v>
      </c>
      <c r="K133" s="54"/>
      <c r="L133" s="115"/>
      <c r="M133" s="54">
        <f t="shared" si="48"/>
        <v>0</v>
      </c>
      <c r="N133" s="115"/>
      <c r="O133" s="54">
        <f t="shared" si="49"/>
        <v>0</v>
      </c>
      <c r="P133" s="54">
        <f t="shared" si="50"/>
        <v>0</v>
      </c>
    </row>
    <row r="134" spans="2:16" ht="12.5">
      <c r="B134" s="7" t="str">
        <f t="shared" si="29"/>
        <v/>
      </c>
      <c r="C134" s="50">
        <f>IF(D93="","-",+C133+1)</f>
        <v>2052</v>
      </c>
      <c r="D134" s="12">
        <f>IF(F133+SUM(E$99:E133)=D$92,F133,D$92-SUM(E$99:E133))</f>
        <v>28415</v>
      </c>
      <c r="E134" s="354">
        <f t="shared" si="42"/>
        <v>8942</v>
      </c>
      <c r="F134" s="55">
        <f t="shared" si="43"/>
        <v>19473</v>
      </c>
      <c r="G134" s="55">
        <f t="shared" si="44"/>
        <v>23944</v>
      </c>
      <c r="H134" s="436">
        <f t="shared" si="45"/>
        <v>12158.12718643044</v>
      </c>
      <c r="I134" s="437">
        <f t="shared" si="46"/>
        <v>12158.12718643044</v>
      </c>
      <c r="J134" s="54">
        <f t="shared" si="47"/>
        <v>0</v>
      </c>
      <c r="K134" s="54"/>
      <c r="L134" s="115"/>
      <c r="M134" s="54">
        <f t="shared" si="48"/>
        <v>0</v>
      </c>
      <c r="N134" s="115"/>
      <c r="O134" s="54">
        <f t="shared" si="49"/>
        <v>0</v>
      </c>
      <c r="P134" s="54">
        <f t="shared" si="50"/>
        <v>0</v>
      </c>
    </row>
    <row r="135" spans="2:16" ht="12.5">
      <c r="B135" s="7" t="str">
        <f t="shared" si="29"/>
        <v/>
      </c>
      <c r="C135" s="50">
        <f>IF(D93="","-",+C134+1)</f>
        <v>2053</v>
      </c>
      <c r="D135" s="12">
        <f>IF(F134+SUM(E$99:E134)=D$92,F134,D$92-SUM(E$99:E134))</f>
        <v>19473</v>
      </c>
      <c r="E135" s="354">
        <f t="shared" si="42"/>
        <v>8942</v>
      </c>
      <c r="F135" s="55">
        <f t="shared" si="43"/>
        <v>10531</v>
      </c>
      <c r="G135" s="55">
        <f t="shared" si="44"/>
        <v>15002</v>
      </c>
      <c r="H135" s="436">
        <f t="shared" si="45"/>
        <v>10957.049283780047</v>
      </c>
      <c r="I135" s="437">
        <f t="shared" si="46"/>
        <v>10957.049283780047</v>
      </c>
      <c r="J135" s="54">
        <f t="shared" si="47"/>
        <v>0</v>
      </c>
      <c r="K135" s="54"/>
      <c r="L135" s="115"/>
      <c r="M135" s="54">
        <f t="shared" si="48"/>
        <v>0</v>
      </c>
      <c r="N135" s="115"/>
      <c r="O135" s="54">
        <f t="shared" si="49"/>
        <v>0</v>
      </c>
      <c r="P135" s="54">
        <f t="shared" si="50"/>
        <v>0</v>
      </c>
    </row>
    <row r="136" spans="2:16" ht="12.5">
      <c r="B136" s="7" t="str">
        <f t="shared" si="29"/>
        <v/>
      </c>
      <c r="C136" s="50">
        <f>IF(D93="","-",+C135+1)</f>
        <v>2054</v>
      </c>
      <c r="D136" s="12">
        <f>IF(F135+SUM(E$99:E135)=D$92,F135,D$92-SUM(E$99:E135))</f>
        <v>10531</v>
      </c>
      <c r="E136" s="354">
        <f t="shared" si="42"/>
        <v>8942</v>
      </c>
      <c r="F136" s="55">
        <f t="shared" si="43"/>
        <v>1589</v>
      </c>
      <c r="G136" s="55">
        <f t="shared" si="44"/>
        <v>6060</v>
      </c>
      <c r="H136" s="436">
        <f t="shared" si="45"/>
        <v>9755.9713811296551</v>
      </c>
      <c r="I136" s="437">
        <f t="shared" si="46"/>
        <v>9755.9713811296551</v>
      </c>
      <c r="J136" s="54">
        <f t="shared" si="47"/>
        <v>0</v>
      </c>
      <c r="K136" s="54"/>
      <c r="L136" s="115"/>
      <c r="M136" s="54">
        <f t="shared" si="48"/>
        <v>0</v>
      </c>
      <c r="N136" s="115"/>
      <c r="O136" s="54">
        <f t="shared" si="49"/>
        <v>0</v>
      </c>
      <c r="P136" s="54">
        <f t="shared" si="50"/>
        <v>0</v>
      </c>
    </row>
    <row r="137" spans="2:16" ht="12.5">
      <c r="B137" s="7" t="str">
        <f t="shared" si="29"/>
        <v/>
      </c>
      <c r="C137" s="50">
        <f>IF(D93="","-",+C136+1)</f>
        <v>2055</v>
      </c>
      <c r="D137" s="12">
        <f>IF(F136+SUM(E$99:E136)=D$92,F136,D$92-SUM(E$99:E136))</f>
        <v>1589</v>
      </c>
      <c r="E137" s="354">
        <f t="shared" si="42"/>
        <v>1589</v>
      </c>
      <c r="F137" s="55">
        <f t="shared" si="43"/>
        <v>0</v>
      </c>
      <c r="G137" s="55">
        <f t="shared" si="44"/>
        <v>794.5</v>
      </c>
      <c r="H137" s="436">
        <f t="shared" si="45"/>
        <v>1695.7162149022295</v>
      </c>
      <c r="I137" s="437">
        <f t="shared" si="46"/>
        <v>1695.7162149022295</v>
      </c>
      <c r="J137" s="54">
        <f t="shared" si="47"/>
        <v>0</v>
      </c>
      <c r="K137" s="54"/>
      <c r="L137" s="115"/>
      <c r="M137" s="54">
        <f t="shared" si="48"/>
        <v>0</v>
      </c>
      <c r="N137" s="115"/>
      <c r="O137" s="54">
        <f t="shared" si="49"/>
        <v>0</v>
      </c>
      <c r="P137" s="54">
        <f t="shared" si="50"/>
        <v>0</v>
      </c>
    </row>
    <row r="138" spans="2:16" ht="12.5">
      <c r="B138" s="7" t="str">
        <f t="shared" si="29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42"/>
        <v>0</v>
      </c>
      <c r="F138" s="55">
        <f t="shared" si="43"/>
        <v>0</v>
      </c>
      <c r="G138" s="55">
        <f t="shared" si="44"/>
        <v>0</v>
      </c>
      <c r="H138" s="436">
        <f t="shared" si="45"/>
        <v>0</v>
      </c>
      <c r="I138" s="437">
        <f t="shared" si="46"/>
        <v>0</v>
      </c>
      <c r="J138" s="54">
        <f t="shared" si="47"/>
        <v>0</v>
      </c>
      <c r="K138" s="54"/>
      <c r="L138" s="115"/>
      <c r="M138" s="54">
        <f t="shared" si="48"/>
        <v>0</v>
      </c>
      <c r="N138" s="115"/>
      <c r="O138" s="54">
        <f t="shared" si="49"/>
        <v>0</v>
      </c>
      <c r="P138" s="54">
        <f t="shared" si="50"/>
        <v>0</v>
      </c>
    </row>
    <row r="139" spans="2:16" ht="12.5">
      <c r="B139" s="7" t="str">
        <f t="shared" si="29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42"/>
        <v>0</v>
      </c>
      <c r="F139" s="55">
        <f t="shared" si="43"/>
        <v>0</v>
      </c>
      <c r="G139" s="55">
        <f t="shared" si="44"/>
        <v>0</v>
      </c>
      <c r="H139" s="436">
        <f t="shared" si="45"/>
        <v>0</v>
      </c>
      <c r="I139" s="437">
        <f t="shared" si="46"/>
        <v>0</v>
      </c>
      <c r="J139" s="54">
        <f t="shared" si="47"/>
        <v>0</v>
      </c>
      <c r="K139" s="54"/>
      <c r="L139" s="115"/>
      <c r="M139" s="54">
        <f t="shared" si="48"/>
        <v>0</v>
      </c>
      <c r="N139" s="115"/>
      <c r="O139" s="54">
        <f t="shared" si="49"/>
        <v>0</v>
      </c>
      <c r="P139" s="54">
        <f t="shared" si="50"/>
        <v>0</v>
      </c>
    </row>
    <row r="140" spans="2:16" ht="12.5">
      <c r="B140" s="7" t="str">
        <f t="shared" si="29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42"/>
        <v>0</v>
      </c>
      <c r="F140" s="55">
        <f t="shared" si="43"/>
        <v>0</v>
      </c>
      <c r="G140" s="55">
        <f t="shared" si="44"/>
        <v>0</v>
      </c>
      <c r="H140" s="436">
        <f t="shared" si="45"/>
        <v>0</v>
      </c>
      <c r="I140" s="437">
        <f t="shared" si="46"/>
        <v>0</v>
      </c>
      <c r="J140" s="54">
        <f t="shared" si="47"/>
        <v>0</v>
      </c>
      <c r="K140" s="54"/>
      <c r="L140" s="115"/>
      <c r="M140" s="54">
        <f t="shared" si="48"/>
        <v>0</v>
      </c>
      <c r="N140" s="115"/>
      <c r="O140" s="54">
        <f t="shared" si="49"/>
        <v>0</v>
      </c>
      <c r="P140" s="54">
        <f t="shared" si="50"/>
        <v>0</v>
      </c>
    </row>
    <row r="141" spans="2:16" ht="12.5">
      <c r="B141" s="7" t="str">
        <f t="shared" si="29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42"/>
        <v>0</v>
      </c>
      <c r="F141" s="55">
        <f t="shared" si="43"/>
        <v>0</v>
      </c>
      <c r="G141" s="55">
        <f t="shared" si="44"/>
        <v>0</v>
      </c>
      <c r="H141" s="436">
        <f t="shared" si="45"/>
        <v>0</v>
      </c>
      <c r="I141" s="437">
        <f t="shared" si="46"/>
        <v>0</v>
      </c>
      <c r="J141" s="54">
        <f t="shared" si="47"/>
        <v>0</v>
      </c>
      <c r="K141" s="54"/>
      <c r="L141" s="115"/>
      <c r="M141" s="54">
        <f t="shared" si="48"/>
        <v>0</v>
      </c>
      <c r="N141" s="115"/>
      <c r="O141" s="54">
        <f t="shared" si="49"/>
        <v>0</v>
      </c>
      <c r="P141" s="54">
        <f t="shared" si="50"/>
        <v>0</v>
      </c>
    </row>
    <row r="142" spans="2:16" ht="12.5">
      <c r="B142" s="7" t="str">
        <f t="shared" si="29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42"/>
        <v>0</v>
      </c>
      <c r="F142" s="55">
        <f t="shared" si="43"/>
        <v>0</v>
      </c>
      <c r="G142" s="55">
        <f t="shared" si="44"/>
        <v>0</v>
      </c>
      <c r="H142" s="436">
        <f t="shared" si="45"/>
        <v>0</v>
      </c>
      <c r="I142" s="437">
        <f t="shared" si="46"/>
        <v>0</v>
      </c>
      <c r="J142" s="54">
        <f t="shared" si="47"/>
        <v>0</v>
      </c>
      <c r="K142" s="54"/>
      <c r="L142" s="115"/>
      <c r="M142" s="54">
        <f t="shared" si="48"/>
        <v>0</v>
      </c>
      <c r="N142" s="115"/>
      <c r="O142" s="54">
        <f t="shared" si="49"/>
        <v>0</v>
      </c>
      <c r="P142" s="54">
        <f t="shared" si="50"/>
        <v>0</v>
      </c>
    </row>
    <row r="143" spans="2:16" ht="12.5">
      <c r="B143" s="7" t="str">
        <f t="shared" si="29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42"/>
        <v>0</v>
      </c>
      <c r="F143" s="55">
        <f t="shared" si="43"/>
        <v>0</v>
      </c>
      <c r="G143" s="55">
        <f t="shared" si="44"/>
        <v>0</v>
      </c>
      <c r="H143" s="436">
        <f t="shared" si="45"/>
        <v>0</v>
      </c>
      <c r="I143" s="437">
        <f t="shared" si="46"/>
        <v>0</v>
      </c>
      <c r="J143" s="54">
        <f t="shared" si="47"/>
        <v>0</v>
      </c>
      <c r="K143" s="54"/>
      <c r="L143" s="115"/>
      <c r="M143" s="54">
        <f t="shared" si="48"/>
        <v>0</v>
      </c>
      <c r="N143" s="115"/>
      <c r="O143" s="54">
        <f t="shared" si="49"/>
        <v>0</v>
      </c>
      <c r="P143" s="54">
        <f t="shared" si="50"/>
        <v>0</v>
      </c>
    </row>
    <row r="144" spans="2:16" ht="12.5">
      <c r="B144" s="7" t="str">
        <f t="shared" si="29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42"/>
        <v>0</v>
      </c>
      <c r="F144" s="55">
        <f t="shared" si="43"/>
        <v>0</v>
      </c>
      <c r="G144" s="55">
        <f t="shared" si="44"/>
        <v>0</v>
      </c>
      <c r="H144" s="436">
        <f t="shared" si="45"/>
        <v>0</v>
      </c>
      <c r="I144" s="437">
        <f t="shared" si="46"/>
        <v>0</v>
      </c>
      <c r="J144" s="54">
        <f t="shared" si="47"/>
        <v>0</v>
      </c>
      <c r="K144" s="54"/>
      <c r="L144" s="115"/>
      <c r="M144" s="54">
        <f t="shared" si="48"/>
        <v>0</v>
      </c>
      <c r="N144" s="115"/>
      <c r="O144" s="54">
        <f t="shared" si="49"/>
        <v>0</v>
      </c>
      <c r="P144" s="54">
        <f t="shared" si="50"/>
        <v>0</v>
      </c>
    </row>
    <row r="145" spans="2:16" ht="12.5">
      <c r="B145" s="7" t="str">
        <f t="shared" si="29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42"/>
        <v>0</v>
      </c>
      <c r="F145" s="55">
        <f t="shared" si="43"/>
        <v>0</v>
      </c>
      <c r="G145" s="55">
        <f t="shared" si="44"/>
        <v>0</v>
      </c>
      <c r="H145" s="436">
        <f t="shared" si="45"/>
        <v>0</v>
      </c>
      <c r="I145" s="437">
        <f t="shared" si="46"/>
        <v>0</v>
      </c>
      <c r="J145" s="54">
        <f t="shared" si="47"/>
        <v>0</v>
      </c>
      <c r="K145" s="54"/>
      <c r="L145" s="115"/>
      <c r="M145" s="54">
        <f t="shared" si="48"/>
        <v>0</v>
      </c>
      <c r="N145" s="115"/>
      <c r="O145" s="54">
        <f t="shared" si="49"/>
        <v>0</v>
      </c>
      <c r="P145" s="54">
        <f t="shared" si="50"/>
        <v>0</v>
      </c>
    </row>
    <row r="146" spans="2:16" ht="12.5">
      <c r="B146" s="7" t="str">
        <f t="shared" si="29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42"/>
        <v>0</v>
      </c>
      <c r="F146" s="55">
        <f t="shared" si="43"/>
        <v>0</v>
      </c>
      <c r="G146" s="55">
        <f t="shared" si="44"/>
        <v>0</v>
      </c>
      <c r="H146" s="436">
        <f t="shared" si="45"/>
        <v>0</v>
      </c>
      <c r="I146" s="437">
        <f t="shared" si="46"/>
        <v>0</v>
      </c>
      <c r="J146" s="54">
        <f t="shared" si="47"/>
        <v>0</v>
      </c>
      <c r="K146" s="54"/>
      <c r="L146" s="115"/>
      <c r="M146" s="54">
        <f t="shared" si="48"/>
        <v>0</v>
      </c>
      <c r="N146" s="115"/>
      <c r="O146" s="54">
        <f t="shared" si="49"/>
        <v>0</v>
      </c>
      <c r="P146" s="54">
        <f t="shared" si="50"/>
        <v>0</v>
      </c>
    </row>
    <row r="147" spans="2:16" ht="12.5">
      <c r="B147" s="7" t="str">
        <f t="shared" si="29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42"/>
        <v>0</v>
      </c>
      <c r="F147" s="55">
        <f t="shared" si="43"/>
        <v>0</v>
      </c>
      <c r="G147" s="55">
        <f t="shared" si="44"/>
        <v>0</v>
      </c>
      <c r="H147" s="436">
        <f t="shared" si="45"/>
        <v>0</v>
      </c>
      <c r="I147" s="437">
        <f t="shared" si="46"/>
        <v>0</v>
      </c>
      <c r="J147" s="54">
        <f t="shared" si="47"/>
        <v>0</v>
      </c>
      <c r="K147" s="54"/>
      <c r="L147" s="115"/>
      <c r="M147" s="54">
        <f t="shared" si="48"/>
        <v>0</v>
      </c>
      <c r="N147" s="115"/>
      <c r="O147" s="54">
        <f t="shared" si="49"/>
        <v>0</v>
      </c>
      <c r="P147" s="54">
        <f t="shared" si="50"/>
        <v>0</v>
      </c>
    </row>
    <row r="148" spans="2:16" ht="12.5">
      <c r="B148" s="7" t="str">
        <f t="shared" si="29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42"/>
        <v>0</v>
      </c>
      <c r="F148" s="55">
        <f t="shared" si="43"/>
        <v>0</v>
      </c>
      <c r="G148" s="55">
        <f t="shared" si="44"/>
        <v>0</v>
      </c>
      <c r="H148" s="436">
        <f t="shared" si="45"/>
        <v>0</v>
      </c>
      <c r="I148" s="437">
        <f t="shared" si="46"/>
        <v>0</v>
      </c>
      <c r="J148" s="54">
        <f t="shared" si="47"/>
        <v>0</v>
      </c>
      <c r="K148" s="54"/>
      <c r="L148" s="115"/>
      <c r="M148" s="54">
        <f t="shared" si="48"/>
        <v>0</v>
      </c>
      <c r="N148" s="115"/>
      <c r="O148" s="54">
        <f t="shared" si="49"/>
        <v>0</v>
      </c>
      <c r="P148" s="54">
        <f t="shared" si="50"/>
        <v>0</v>
      </c>
    </row>
    <row r="149" spans="2:16" ht="12.5">
      <c r="B149" s="7" t="str">
        <f t="shared" si="29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42"/>
        <v>0</v>
      </c>
      <c r="F149" s="55">
        <f t="shared" si="43"/>
        <v>0</v>
      </c>
      <c r="G149" s="55">
        <f t="shared" si="44"/>
        <v>0</v>
      </c>
      <c r="H149" s="436">
        <f t="shared" si="45"/>
        <v>0</v>
      </c>
      <c r="I149" s="437">
        <f t="shared" si="46"/>
        <v>0</v>
      </c>
      <c r="J149" s="54">
        <f t="shared" si="47"/>
        <v>0</v>
      </c>
      <c r="K149" s="54"/>
      <c r="L149" s="115"/>
      <c r="M149" s="54">
        <f t="shared" si="48"/>
        <v>0</v>
      </c>
      <c r="N149" s="115"/>
      <c r="O149" s="54">
        <f t="shared" si="49"/>
        <v>0</v>
      </c>
      <c r="P149" s="54">
        <f t="shared" si="50"/>
        <v>0</v>
      </c>
    </row>
    <row r="150" spans="2:16" ht="12.5">
      <c r="B150" s="7" t="str">
        <f t="shared" si="29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42"/>
        <v>0</v>
      </c>
      <c r="F150" s="55">
        <f t="shared" si="43"/>
        <v>0</v>
      </c>
      <c r="G150" s="55">
        <f t="shared" si="44"/>
        <v>0</v>
      </c>
      <c r="H150" s="436">
        <f t="shared" si="45"/>
        <v>0</v>
      </c>
      <c r="I150" s="437">
        <f t="shared" si="46"/>
        <v>0</v>
      </c>
      <c r="J150" s="54">
        <f t="shared" si="47"/>
        <v>0</v>
      </c>
      <c r="K150" s="54"/>
      <c r="L150" s="115"/>
      <c r="M150" s="54">
        <f t="shared" si="48"/>
        <v>0</v>
      </c>
      <c r="N150" s="115"/>
      <c r="O150" s="54">
        <f t="shared" si="49"/>
        <v>0</v>
      </c>
      <c r="P150" s="54">
        <f t="shared" si="50"/>
        <v>0</v>
      </c>
    </row>
    <row r="151" spans="2:16" ht="12.5">
      <c r="B151" s="7" t="str">
        <f t="shared" si="29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42"/>
        <v>0</v>
      </c>
      <c r="F151" s="55">
        <f t="shared" si="43"/>
        <v>0</v>
      </c>
      <c r="G151" s="55">
        <f t="shared" si="44"/>
        <v>0</v>
      </c>
      <c r="H151" s="436">
        <f t="shared" si="45"/>
        <v>0</v>
      </c>
      <c r="I151" s="437">
        <f t="shared" si="46"/>
        <v>0</v>
      </c>
      <c r="J151" s="54">
        <f t="shared" si="47"/>
        <v>0</v>
      </c>
      <c r="K151" s="54"/>
      <c r="L151" s="115"/>
      <c r="M151" s="54">
        <f t="shared" si="48"/>
        <v>0</v>
      </c>
      <c r="N151" s="115"/>
      <c r="O151" s="54">
        <f t="shared" si="49"/>
        <v>0</v>
      </c>
      <c r="P151" s="54">
        <f t="shared" si="50"/>
        <v>0</v>
      </c>
    </row>
    <row r="152" spans="2:16" ht="12.5">
      <c r="B152" s="7" t="str">
        <f t="shared" si="29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42"/>
        <v>0</v>
      </c>
      <c r="F152" s="55">
        <f t="shared" si="43"/>
        <v>0</v>
      </c>
      <c r="G152" s="55">
        <f t="shared" si="44"/>
        <v>0</v>
      </c>
      <c r="H152" s="436">
        <f t="shared" si="45"/>
        <v>0</v>
      </c>
      <c r="I152" s="437">
        <f t="shared" si="46"/>
        <v>0</v>
      </c>
      <c r="J152" s="54">
        <f t="shared" si="47"/>
        <v>0</v>
      </c>
      <c r="K152" s="54"/>
      <c r="L152" s="115"/>
      <c r="M152" s="54">
        <f t="shared" si="48"/>
        <v>0</v>
      </c>
      <c r="N152" s="115"/>
      <c r="O152" s="54">
        <f t="shared" si="49"/>
        <v>0</v>
      </c>
      <c r="P152" s="54">
        <f t="shared" si="50"/>
        <v>0</v>
      </c>
    </row>
    <row r="153" spans="2:16" ht="12.5">
      <c r="B153" s="7" t="str">
        <f t="shared" si="29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42"/>
        <v>0</v>
      </c>
      <c r="F153" s="55">
        <f t="shared" si="43"/>
        <v>0</v>
      </c>
      <c r="G153" s="55">
        <f t="shared" si="44"/>
        <v>0</v>
      </c>
      <c r="H153" s="436">
        <f t="shared" si="45"/>
        <v>0</v>
      </c>
      <c r="I153" s="437">
        <f t="shared" si="46"/>
        <v>0</v>
      </c>
      <c r="J153" s="54">
        <f t="shared" si="47"/>
        <v>0</v>
      </c>
      <c r="K153" s="54"/>
      <c r="L153" s="115"/>
      <c r="M153" s="54">
        <f t="shared" si="48"/>
        <v>0</v>
      </c>
      <c r="N153" s="115"/>
      <c r="O153" s="54">
        <f t="shared" si="49"/>
        <v>0</v>
      </c>
      <c r="P153" s="54">
        <f t="shared" si="50"/>
        <v>0</v>
      </c>
    </row>
    <row r="154" spans="2:16" ht="13" thickBot="1">
      <c r="B154" s="7" t="str">
        <f t="shared" si="29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42"/>
        <v>0</v>
      </c>
      <c r="F154" s="59">
        <f t="shared" si="43"/>
        <v>0</v>
      </c>
      <c r="G154" s="59">
        <f t="shared" si="44"/>
        <v>0</v>
      </c>
      <c r="H154" s="438">
        <f t="shared" si="45"/>
        <v>0</v>
      </c>
      <c r="I154" s="439">
        <f t="shared" si="46"/>
        <v>0</v>
      </c>
      <c r="J154" s="62">
        <f t="shared" si="47"/>
        <v>0</v>
      </c>
      <c r="K154" s="54"/>
      <c r="L154" s="116"/>
      <c r="M154" s="62">
        <f t="shared" si="48"/>
        <v>0</v>
      </c>
      <c r="N154" s="116"/>
      <c r="O154" s="62">
        <f t="shared" si="49"/>
        <v>0</v>
      </c>
      <c r="P154" s="62">
        <f t="shared" si="50"/>
        <v>0</v>
      </c>
    </row>
    <row r="155" spans="2:16" ht="12.5">
      <c r="C155" s="12" t="s">
        <v>77</v>
      </c>
      <c r="D155" s="267"/>
      <c r="E155" s="267">
        <f>SUM(E99:E154)</f>
        <v>330872</v>
      </c>
      <c r="F155" s="267"/>
      <c r="G155" s="267"/>
      <c r="H155" s="267">
        <f>SUM(H99:H154)</f>
        <v>1135232.8348149306</v>
      </c>
      <c r="I155" s="267">
        <f>SUM(I99:I154)</f>
        <v>1135232.8348149306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1"/>
  <dimension ref="A1:V162"/>
  <sheetViews>
    <sheetView topLeftCell="A56" zoomScaleNormal="100" zoomScaleSheetLayoutView="78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22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29383.42293773211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29383.42293773211</v>
      </c>
      <c r="O6" s="1"/>
      <c r="P6" s="1"/>
    </row>
    <row r="7" spans="1:16" ht="13.5" thickBot="1">
      <c r="C7" s="26" t="s">
        <v>46</v>
      </c>
      <c r="D7" s="88" t="s">
        <v>280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301</v>
      </c>
      <c r="E9" s="404" t="s">
        <v>302</v>
      </c>
      <c r="F9" s="32"/>
      <c r="G9" s="452" t="s">
        <v>408</v>
      </c>
      <c r="H9" s="32"/>
      <c r="I9" s="33"/>
      <c r="J9" s="34"/>
      <c r="P9" s="1"/>
    </row>
    <row r="10" spans="1:16" ht="13">
      <c r="C10" s="128" t="s">
        <v>226</v>
      </c>
      <c r="D10" s="336">
        <v>244000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6421.0526315789475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3">
        <v>2711.1111111111113</v>
      </c>
      <c r="F17" s="411">
        <v>241288.88888888888</v>
      </c>
      <c r="G17" s="433">
        <v>17159.361980055266</v>
      </c>
      <c r="H17" s="414">
        <v>17159.361980055266</v>
      </c>
      <c r="I17" s="52">
        <f t="shared" ref="I17:I72" si="0">H17-G17</f>
        <v>0</v>
      </c>
      <c r="J17" s="52"/>
      <c r="K17" s="117">
        <f t="shared" ref="K17:K22" si="1">+G17</f>
        <v>17159.361980055266</v>
      </c>
      <c r="L17" s="53">
        <f t="shared" ref="L17:L72" si="2">IF(K17&lt;&gt;0,+G17-K17,0)</f>
        <v>0</v>
      </c>
      <c r="M17" s="117">
        <f t="shared" ref="M17:M22" si="3">+H17</f>
        <v>17159.361980055266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11">
        <v>241288.88888888888</v>
      </c>
      <c r="E18" s="412">
        <v>6100</v>
      </c>
      <c r="F18" s="411">
        <v>235188.88888888888</v>
      </c>
      <c r="G18" s="412">
        <v>32700.951777404996</v>
      </c>
      <c r="H18" s="414">
        <v>32700.951777404996</v>
      </c>
      <c r="I18" s="52">
        <f t="shared" si="0"/>
        <v>0</v>
      </c>
      <c r="J18" s="52"/>
      <c r="K18" s="54">
        <f t="shared" si="1"/>
        <v>32700.951777404996</v>
      </c>
      <c r="L18" s="54">
        <f t="shared" si="2"/>
        <v>0</v>
      </c>
      <c r="M18" s="54">
        <f t="shared" si="3"/>
        <v>32700.951777404996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235866.66666666666</v>
      </c>
      <c r="E19" s="412">
        <v>5809.5238095238092</v>
      </c>
      <c r="F19" s="411">
        <v>230057.14285714284</v>
      </c>
      <c r="G19" s="412">
        <v>30970.52236185109</v>
      </c>
      <c r="H19" s="414">
        <v>30970.52236185109</v>
      </c>
      <c r="I19" s="52">
        <f t="shared" si="0"/>
        <v>0</v>
      </c>
      <c r="J19" s="52"/>
      <c r="K19" s="54">
        <f t="shared" si="1"/>
        <v>30970.52236185109</v>
      </c>
      <c r="L19" s="54">
        <f t="shared" ref="L19" si="6">IF(K19&lt;&gt;0,+G19-K19,0)</f>
        <v>0</v>
      </c>
      <c r="M19" s="54">
        <f t="shared" si="3"/>
        <v>30970.52236185109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229379.36507936509</v>
      </c>
      <c r="E20" s="412">
        <v>5674.4186046511632</v>
      </c>
      <c r="F20" s="411">
        <v>223704.94647471391</v>
      </c>
      <c r="G20" s="412">
        <v>30100.568065113996</v>
      </c>
      <c r="H20" s="414">
        <v>30100.568065113996</v>
      </c>
      <c r="I20" s="52">
        <f t="shared" si="0"/>
        <v>0</v>
      </c>
      <c r="J20" s="52"/>
      <c r="K20" s="54">
        <f t="shared" si="1"/>
        <v>30100.568065113996</v>
      </c>
      <c r="L20" s="54">
        <f t="shared" ref="L20" si="8">IF(K20&lt;&gt;0,+G20-K20,0)</f>
        <v>0</v>
      </c>
      <c r="M20" s="54">
        <f t="shared" si="3"/>
        <v>30100.568065113996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223704.94647471391</v>
      </c>
      <c r="E21" s="412">
        <v>5809.5238095238092</v>
      </c>
      <c r="F21" s="411">
        <v>217895.4226651901</v>
      </c>
      <c r="G21" s="412">
        <v>29614.266782481478</v>
      </c>
      <c r="H21" s="414">
        <v>29614.266782481478</v>
      </c>
      <c r="I21" s="52">
        <f t="shared" si="0"/>
        <v>0</v>
      </c>
      <c r="J21" s="52"/>
      <c r="K21" s="54">
        <f t="shared" si="1"/>
        <v>29614.266782481478</v>
      </c>
      <c r="L21" s="54">
        <f t="shared" ref="L21" si="9">IF(K21&lt;&gt;0,+G21-K21,0)</f>
        <v>0</v>
      </c>
      <c r="M21" s="54">
        <f t="shared" si="3"/>
        <v>29614.266782481478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2023</v>
      </c>
      <c r="D22" s="411">
        <v>217895.4226651901</v>
      </c>
      <c r="E22" s="412">
        <v>6256.4102564102568</v>
      </c>
      <c r="F22" s="411">
        <v>211639.01240877985</v>
      </c>
      <c r="G22" s="412">
        <v>31890.799977104634</v>
      </c>
      <c r="H22" s="414">
        <v>31890.799977104634</v>
      </c>
      <c r="I22" s="52">
        <f t="shared" si="0"/>
        <v>0</v>
      </c>
      <c r="J22" s="52"/>
      <c r="K22" s="54">
        <f t="shared" si="1"/>
        <v>31890.799977104634</v>
      </c>
      <c r="L22" s="54">
        <f t="shared" ref="L22" si="10">IF(K22&lt;&gt;0,+G22-K22,0)</f>
        <v>0</v>
      </c>
      <c r="M22" s="54">
        <f t="shared" si="3"/>
        <v>31890.799977104634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50">
        <f>IF(D11="","-",+C22+1)</f>
        <v>2024</v>
      </c>
      <c r="D23" s="411">
        <v>211639.01240877985</v>
      </c>
      <c r="E23" s="412">
        <v>6421.0526315789475</v>
      </c>
      <c r="F23" s="411">
        <v>205217.95977720089</v>
      </c>
      <c r="G23" s="412">
        <v>30127.747736725432</v>
      </c>
      <c r="H23" s="414">
        <v>30127.747736725432</v>
      </c>
      <c r="I23" s="52">
        <f t="shared" si="0"/>
        <v>0</v>
      </c>
      <c r="J23" s="52"/>
      <c r="K23" s="54">
        <f t="shared" ref="K23" si="13">+G23</f>
        <v>30127.747736725432</v>
      </c>
      <c r="L23" s="54">
        <f t="shared" ref="L23" si="14">IF(K23&lt;&gt;0,+G23-K23,0)</f>
        <v>0</v>
      </c>
      <c r="M23" s="54">
        <f t="shared" ref="M23" si="15">+H23</f>
        <v>30127.747736725432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49">
        <f>IF(D11="","-",+C23+1)</f>
        <v>2025</v>
      </c>
      <c r="D24" s="411">
        <v>205217.95977720089</v>
      </c>
      <c r="E24" s="412">
        <v>6421.0526315789475</v>
      </c>
      <c r="F24" s="411">
        <v>198796.90714562192</v>
      </c>
      <c r="G24" s="412">
        <v>29370.408947142718</v>
      </c>
      <c r="H24" s="414">
        <v>29370.408947142718</v>
      </c>
      <c r="I24" s="52">
        <f t="shared" si="0"/>
        <v>0</v>
      </c>
      <c r="J24" s="52"/>
      <c r="K24" s="54">
        <f t="shared" ref="K24" si="18">+G24</f>
        <v>29370.408947142718</v>
      </c>
      <c r="L24" s="54">
        <f t="shared" ref="L24" si="19">IF(K24&lt;&gt;0,+G24-K24,0)</f>
        <v>0</v>
      </c>
      <c r="M24" s="54">
        <f t="shared" ref="M24" si="20">+H24</f>
        <v>29370.408947142718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198796.90714562192</v>
      </c>
      <c r="E25" s="354">
        <f t="shared" ref="E25:E72" si="23">IF(+I$14&lt;F24,I$14,D25)</f>
        <v>6421.0526315789475</v>
      </c>
      <c r="F25" s="55">
        <f t="shared" ref="F25:F72" si="24">+D25-E25</f>
        <v>192375.85451404296</v>
      </c>
      <c r="G25" s="355">
        <f t="shared" ref="G25:G72" si="25">(D25+F25)/2*I$12+E25</f>
        <v>29383.42293773211</v>
      </c>
      <c r="H25" s="337">
        <f t="shared" ref="H25:H72" si="26">+(D25+F25)/2*I$13+E25</f>
        <v>29383.42293773211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192375.85451404296</v>
      </c>
      <c r="E26" s="354">
        <f t="shared" si="23"/>
        <v>6421.0526315789475</v>
      </c>
      <c r="F26" s="55">
        <f t="shared" si="24"/>
        <v>185954.801882464</v>
      </c>
      <c r="G26" s="355">
        <f t="shared" si="25"/>
        <v>28629.573985386614</v>
      </c>
      <c r="H26" s="337">
        <f t="shared" si="26"/>
        <v>28629.573985386614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185954.801882464</v>
      </c>
      <c r="E27" s="354">
        <f t="shared" si="23"/>
        <v>6421.0526315789475</v>
      </c>
      <c r="F27" s="55">
        <f t="shared" si="24"/>
        <v>179533.74925088504</v>
      </c>
      <c r="G27" s="355">
        <f t="shared" si="25"/>
        <v>27875.725033041126</v>
      </c>
      <c r="H27" s="337">
        <f t="shared" si="26"/>
        <v>27875.725033041126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179533.74925088504</v>
      </c>
      <c r="E28" s="354">
        <f t="shared" si="23"/>
        <v>6421.0526315789475</v>
      </c>
      <c r="F28" s="55">
        <f t="shared" si="24"/>
        <v>173112.69661930608</v>
      </c>
      <c r="G28" s="355">
        <f t="shared" si="25"/>
        <v>27121.876080695634</v>
      </c>
      <c r="H28" s="337">
        <f t="shared" si="26"/>
        <v>27121.876080695634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173112.69661930608</v>
      </c>
      <c r="E29" s="354">
        <f t="shared" si="23"/>
        <v>6421.0526315789475</v>
      </c>
      <c r="F29" s="55">
        <f t="shared" si="24"/>
        <v>166691.64398772712</v>
      </c>
      <c r="G29" s="355">
        <f t="shared" si="25"/>
        <v>26368.027128350146</v>
      </c>
      <c r="H29" s="337">
        <f t="shared" si="26"/>
        <v>26368.027128350146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166691.64398772712</v>
      </c>
      <c r="E30" s="354">
        <f t="shared" si="23"/>
        <v>6421.0526315789475</v>
      </c>
      <c r="F30" s="55">
        <f t="shared" si="24"/>
        <v>160270.59135614816</v>
      </c>
      <c r="G30" s="355">
        <f t="shared" si="25"/>
        <v>25614.178176004654</v>
      </c>
      <c r="H30" s="337">
        <f t="shared" si="26"/>
        <v>25614.178176004654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160270.59135614816</v>
      </c>
      <c r="E31" s="354">
        <f t="shared" si="23"/>
        <v>6421.0526315789475</v>
      </c>
      <c r="F31" s="55">
        <f t="shared" si="24"/>
        <v>153849.5387245692</v>
      </c>
      <c r="G31" s="355">
        <f t="shared" si="25"/>
        <v>24860.329223659166</v>
      </c>
      <c r="H31" s="337">
        <f t="shared" si="26"/>
        <v>24860.329223659166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153849.5387245692</v>
      </c>
      <c r="E32" s="354">
        <f t="shared" si="23"/>
        <v>6421.0526315789475</v>
      </c>
      <c r="F32" s="55">
        <f t="shared" si="24"/>
        <v>147428.48609299024</v>
      </c>
      <c r="G32" s="355">
        <f t="shared" si="25"/>
        <v>24106.480271313671</v>
      </c>
      <c r="H32" s="337">
        <f t="shared" si="26"/>
        <v>24106.480271313671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147428.48609299024</v>
      </c>
      <c r="E33" s="354">
        <f t="shared" si="23"/>
        <v>6421.0526315789475</v>
      </c>
      <c r="F33" s="55">
        <f t="shared" si="24"/>
        <v>141007.43346141127</v>
      </c>
      <c r="G33" s="355">
        <f t="shared" si="25"/>
        <v>23352.631318968182</v>
      </c>
      <c r="H33" s="337">
        <f t="shared" si="26"/>
        <v>23352.631318968182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141007.43346141127</v>
      </c>
      <c r="E34" s="354">
        <f t="shared" si="23"/>
        <v>6421.0526315789475</v>
      </c>
      <c r="F34" s="55">
        <f t="shared" si="24"/>
        <v>134586.38082983231</v>
      </c>
      <c r="G34" s="355">
        <f t="shared" si="25"/>
        <v>22598.78236662269</v>
      </c>
      <c r="H34" s="337">
        <f t="shared" si="26"/>
        <v>22598.78236662269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134586.38082983231</v>
      </c>
      <c r="E35" s="354">
        <f t="shared" si="23"/>
        <v>6421.0526315789475</v>
      </c>
      <c r="F35" s="55">
        <f t="shared" si="24"/>
        <v>128165.32819825337</v>
      </c>
      <c r="G35" s="355">
        <f t="shared" si="25"/>
        <v>21844.933414277202</v>
      </c>
      <c r="H35" s="337">
        <f t="shared" si="26"/>
        <v>21844.933414277202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128165.32819825337</v>
      </c>
      <c r="E36" s="354">
        <f t="shared" si="23"/>
        <v>6421.0526315789475</v>
      </c>
      <c r="F36" s="55">
        <f t="shared" si="24"/>
        <v>121744.27556667442</v>
      </c>
      <c r="G36" s="355">
        <f t="shared" si="25"/>
        <v>21091.084461931714</v>
      </c>
      <c r="H36" s="337">
        <f t="shared" si="26"/>
        <v>21091.084461931714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121744.27556667442</v>
      </c>
      <c r="E37" s="354">
        <f t="shared" si="23"/>
        <v>6421.0526315789475</v>
      </c>
      <c r="F37" s="55">
        <f t="shared" si="24"/>
        <v>115323.22293509547</v>
      </c>
      <c r="G37" s="355">
        <f t="shared" si="25"/>
        <v>20337.235509586226</v>
      </c>
      <c r="H37" s="337">
        <f t="shared" si="26"/>
        <v>20337.235509586226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115323.22293509547</v>
      </c>
      <c r="E38" s="354">
        <f t="shared" si="23"/>
        <v>6421.0526315789475</v>
      </c>
      <c r="F38" s="55">
        <f t="shared" si="24"/>
        <v>108902.17030351653</v>
      </c>
      <c r="G38" s="355">
        <f t="shared" si="25"/>
        <v>19583.386557240734</v>
      </c>
      <c r="H38" s="337">
        <f t="shared" si="26"/>
        <v>19583.386557240734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108902.17030351653</v>
      </c>
      <c r="E39" s="354">
        <f t="shared" si="23"/>
        <v>6421.0526315789475</v>
      </c>
      <c r="F39" s="55">
        <f t="shared" si="24"/>
        <v>102481.11767193758</v>
      </c>
      <c r="G39" s="355">
        <f t="shared" si="25"/>
        <v>18829.537604895246</v>
      </c>
      <c r="H39" s="337">
        <f t="shared" si="26"/>
        <v>18829.537604895246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102481.11767193758</v>
      </c>
      <c r="E40" s="354">
        <f t="shared" si="23"/>
        <v>6421.0526315789475</v>
      </c>
      <c r="F40" s="55">
        <f t="shared" si="24"/>
        <v>96060.065040358633</v>
      </c>
      <c r="G40" s="355">
        <f t="shared" si="25"/>
        <v>18075.688652549758</v>
      </c>
      <c r="H40" s="337">
        <f t="shared" si="26"/>
        <v>18075.688652549758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96060.065040358633</v>
      </c>
      <c r="E41" s="354">
        <f t="shared" si="23"/>
        <v>6421.0526315789475</v>
      </c>
      <c r="F41" s="55">
        <f t="shared" si="24"/>
        <v>89639.012408779687</v>
      </c>
      <c r="G41" s="355">
        <f t="shared" si="25"/>
        <v>17321.839700204269</v>
      </c>
      <c r="H41" s="337">
        <f t="shared" si="26"/>
        <v>17321.839700204269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89639.012408779687</v>
      </c>
      <c r="E42" s="354">
        <f t="shared" si="23"/>
        <v>6421.0526315789475</v>
      </c>
      <c r="F42" s="55">
        <f t="shared" si="24"/>
        <v>83217.95977720074</v>
      </c>
      <c r="G42" s="355">
        <f t="shared" si="25"/>
        <v>16567.990747858777</v>
      </c>
      <c r="H42" s="337">
        <f t="shared" si="26"/>
        <v>16567.990747858777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83217.95977720074</v>
      </c>
      <c r="E43" s="354">
        <f t="shared" si="23"/>
        <v>6421.0526315789475</v>
      </c>
      <c r="F43" s="55">
        <f t="shared" si="24"/>
        <v>76796.907145621793</v>
      </c>
      <c r="G43" s="355">
        <f t="shared" si="25"/>
        <v>15814.141795513293</v>
      </c>
      <c r="H43" s="337">
        <f t="shared" si="26"/>
        <v>15814.141795513293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76796.907145621793</v>
      </c>
      <c r="E44" s="354">
        <f t="shared" si="23"/>
        <v>6421.0526315789475</v>
      </c>
      <c r="F44" s="55">
        <f t="shared" si="24"/>
        <v>70375.854514042847</v>
      </c>
      <c r="G44" s="355">
        <f t="shared" si="25"/>
        <v>15060.292843167801</v>
      </c>
      <c r="H44" s="337">
        <f t="shared" si="26"/>
        <v>15060.292843167801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70375.854514042847</v>
      </c>
      <c r="E45" s="354">
        <f t="shared" si="23"/>
        <v>6421.0526315789475</v>
      </c>
      <c r="F45" s="55">
        <f t="shared" si="24"/>
        <v>63954.8018824639</v>
      </c>
      <c r="G45" s="355">
        <f t="shared" si="25"/>
        <v>14306.443890822313</v>
      </c>
      <c r="H45" s="337">
        <f t="shared" si="26"/>
        <v>14306.443890822313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63954.8018824639</v>
      </c>
      <c r="E46" s="354">
        <f t="shared" si="23"/>
        <v>6421.0526315789475</v>
      </c>
      <c r="F46" s="55">
        <f t="shared" si="24"/>
        <v>57533.749250884954</v>
      </c>
      <c r="G46" s="355">
        <f t="shared" si="25"/>
        <v>13552.594938476825</v>
      </c>
      <c r="H46" s="337">
        <f t="shared" si="26"/>
        <v>13552.594938476825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57533.749250884954</v>
      </c>
      <c r="E47" s="354">
        <f t="shared" si="23"/>
        <v>6421.0526315789475</v>
      </c>
      <c r="F47" s="55">
        <f t="shared" si="24"/>
        <v>51112.696619306007</v>
      </c>
      <c r="G47" s="355">
        <f t="shared" si="25"/>
        <v>12798.745986131335</v>
      </c>
      <c r="H47" s="337">
        <f t="shared" si="26"/>
        <v>12798.745986131335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51112.696619306007</v>
      </c>
      <c r="E48" s="354">
        <f t="shared" si="23"/>
        <v>6421.0526315789475</v>
      </c>
      <c r="F48" s="55">
        <f t="shared" si="24"/>
        <v>44691.64398772706</v>
      </c>
      <c r="G48" s="355">
        <f t="shared" si="25"/>
        <v>12044.897033785845</v>
      </c>
      <c r="H48" s="337">
        <f t="shared" si="26"/>
        <v>12044.897033785845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44691.64398772706</v>
      </c>
      <c r="E49" s="354">
        <f t="shared" si="23"/>
        <v>6421.0526315789475</v>
      </c>
      <c r="F49" s="55">
        <f t="shared" si="24"/>
        <v>38270.591356148114</v>
      </c>
      <c r="G49" s="355">
        <f t="shared" si="25"/>
        <v>11291.048081440356</v>
      </c>
      <c r="H49" s="337">
        <f t="shared" si="26"/>
        <v>11291.048081440356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22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38270.591356148114</v>
      </c>
      <c r="E50" s="354">
        <f t="shared" si="23"/>
        <v>6421.0526315789475</v>
      </c>
      <c r="F50" s="55">
        <f t="shared" si="24"/>
        <v>31849.538724569167</v>
      </c>
      <c r="G50" s="355">
        <f t="shared" si="25"/>
        <v>10537.199129094868</v>
      </c>
      <c r="H50" s="337">
        <f t="shared" si="26"/>
        <v>10537.199129094868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22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31849.538724569167</v>
      </c>
      <c r="E51" s="354">
        <f t="shared" si="23"/>
        <v>6421.0526315789475</v>
      </c>
      <c r="F51" s="55">
        <f t="shared" si="24"/>
        <v>25428.486092990221</v>
      </c>
      <c r="G51" s="355">
        <f t="shared" si="25"/>
        <v>9783.3501767493799</v>
      </c>
      <c r="H51" s="337">
        <f t="shared" si="26"/>
        <v>9783.3501767493799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25428.486092990221</v>
      </c>
      <c r="E52" s="354">
        <f t="shared" si="23"/>
        <v>6421.0526315789475</v>
      </c>
      <c r="F52" s="55">
        <f t="shared" si="24"/>
        <v>19007.433461411274</v>
      </c>
      <c r="G52" s="355">
        <f t="shared" si="25"/>
        <v>9029.5012244038899</v>
      </c>
      <c r="H52" s="337">
        <f t="shared" si="26"/>
        <v>9029.5012244038899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22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19007.433461411274</v>
      </c>
      <c r="E53" s="354">
        <f t="shared" si="23"/>
        <v>6421.0526315789475</v>
      </c>
      <c r="F53" s="55">
        <f t="shared" si="24"/>
        <v>12586.380829832327</v>
      </c>
      <c r="G53" s="355">
        <f t="shared" si="25"/>
        <v>8275.6522720584016</v>
      </c>
      <c r="H53" s="337">
        <f t="shared" si="26"/>
        <v>8275.6522720584016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22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12586.380829832327</v>
      </c>
      <c r="E54" s="354">
        <f t="shared" si="23"/>
        <v>6421.0526315789475</v>
      </c>
      <c r="F54" s="55">
        <f t="shared" si="24"/>
        <v>6165.3281982533799</v>
      </c>
      <c r="G54" s="355">
        <f t="shared" si="25"/>
        <v>7521.8033197129116</v>
      </c>
      <c r="H54" s="337">
        <f t="shared" si="26"/>
        <v>7521.8033197129116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22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6165.3281982533799</v>
      </c>
      <c r="E55" s="354">
        <f t="shared" si="23"/>
        <v>6165.3281982533799</v>
      </c>
      <c r="F55" s="55">
        <f t="shared" si="24"/>
        <v>0</v>
      </c>
      <c r="G55" s="355">
        <f t="shared" si="25"/>
        <v>6527.2413042339895</v>
      </c>
      <c r="H55" s="337">
        <f t="shared" si="26"/>
        <v>6527.2413042339895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22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3"/>
        <v>0</v>
      </c>
      <c r="F56" s="55">
        <f t="shared" si="24"/>
        <v>0</v>
      </c>
      <c r="G56" s="355">
        <f t="shared" si="25"/>
        <v>0</v>
      </c>
      <c r="H56" s="337">
        <f t="shared" si="26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22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7">
        <f t="shared" si="26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22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7">
        <f t="shared" si="26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22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7">
        <f t="shared" si="26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22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7">
        <f t="shared" si="26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22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7">
        <f t="shared" si="26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22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7">
        <f t="shared" si="26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22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7">
        <f t="shared" si="26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22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7">
        <f t="shared" si="26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7">
        <f t="shared" si="26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7">
        <f t="shared" si="26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7">
        <f t="shared" si="26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7">
        <f t="shared" si="26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7">
        <f t="shared" si="26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7">
        <f t="shared" si="26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7">
        <f t="shared" si="26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 t="shared" si="23"/>
        <v>0</v>
      </c>
      <c r="F72" s="59">
        <f t="shared" si="24"/>
        <v>0</v>
      </c>
      <c r="G72" s="382">
        <f t="shared" si="25"/>
        <v>0</v>
      </c>
      <c r="H72" s="335">
        <f t="shared" si="26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7"/>
      <c r="E73" s="267">
        <f>SUM(E17:E72)</f>
        <v>244000.00000000006</v>
      </c>
      <c r="F73" s="267"/>
      <c r="G73" s="267">
        <f>SUM(G17:G72)</f>
        <v>792040.26279378892</v>
      </c>
      <c r="H73" s="267">
        <f>SUM(H17:H72)</f>
        <v>792040.26279378892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22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30127.747736725432</v>
      </c>
      <c r="N87" s="364">
        <f>IF(J92&lt;D11,0,VLOOKUP(J92,C17:O72,11))</f>
        <v>30127.747736725432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34318.928857250634</v>
      </c>
      <c r="N88" s="367">
        <f>IF(J92&lt;D11,0,VLOOKUP(J92,C99:P154,7))</f>
        <v>34318.928857250634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Northeastern Station 138 kV Terminal Upgrades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4191.1811205252015</v>
      </c>
      <c r="N89" s="369">
        <f>+N88-N87</f>
        <v>4191.1811205252015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TP2015169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244000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6595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2018</v>
      </c>
      <c r="D99" s="411">
        <v>0</v>
      </c>
      <c r="E99" s="433">
        <v>2837</v>
      </c>
      <c r="F99" s="411">
        <v>241163</v>
      </c>
      <c r="G99" s="433">
        <v>120581.5</v>
      </c>
      <c r="H99" s="414">
        <v>15225.00875134001</v>
      </c>
      <c r="I99" s="432">
        <v>15225.00875134001</v>
      </c>
      <c r="J99" s="54">
        <f t="shared" ref="J99:J130" si="27">+I99-H99</f>
        <v>0</v>
      </c>
      <c r="K99" s="54"/>
      <c r="L99" s="53">
        <f>+H99</f>
        <v>15225.00875134001</v>
      </c>
      <c r="M99" s="53">
        <f t="shared" ref="M99" si="28">IF(L99&lt;&gt;0,+H99-L99,0)</f>
        <v>0</v>
      </c>
      <c r="N99" s="53">
        <f>+I99</f>
        <v>15225.00875134001</v>
      </c>
      <c r="O99" s="53">
        <f t="shared" ref="O99" si="29">IF(N99&lt;&gt;0,+I99-N99,0)</f>
        <v>0</v>
      </c>
      <c r="P99" s="53">
        <f t="shared" ref="P99" si="30">+O99-M99</f>
        <v>0</v>
      </c>
    </row>
    <row r="100" spans="1:16" ht="12.5">
      <c r="B100" s="7" t="str">
        <f>IF(D100=F99,"","IU")</f>
        <v/>
      </c>
      <c r="C100" s="50">
        <f>IF(D93="","-",+C99+1)</f>
        <v>2019</v>
      </c>
      <c r="D100" s="405">
        <v>241163</v>
      </c>
      <c r="E100" s="406">
        <v>5951</v>
      </c>
      <c r="F100" s="405">
        <v>235212</v>
      </c>
      <c r="G100" s="406">
        <v>238187.5</v>
      </c>
      <c r="H100" s="428">
        <v>30511.472087080136</v>
      </c>
      <c r="I100" s="405">
        <v>30511.472087080136</v>
      </c>
      <c r="J100" s="54">
        <f t="shared" si="27"/>
        <v>0</v>
      </c>
      <c r="K100" s="54"/>
      <c r="L100" s="324">
        <f>H100</f>
        <v>30511.472087080136</v>
      </c>
      <c r="M100" s="63">
        <f>IF(L100&lt;&gt;0,+H100-L100,0)</f>
        <v>0</v>
      </c>
      <c r="N100" s="324">
        <f>I100</f>
        <v>30511.472087080136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 ht="12.5">
      <c r="B101" s="7" t="str">
        <f t="shared" ref="B101:B154" si="33">IF(D101=F100,"","IU")</f>
        <v/>
      </c>
      <c r="C101" s="50">
        <f>IF(D93="","-",+C100+1)</f>
        <v>2020</v>
      </c>
      <c r="D101" s="405">
        <v>235212</v>
      </c>
      <c r="E101" s="406">
        <v>5674</v>
      </c>
      <c r="F101" s="405">
        <v>229538</v>
      </c>
      <c r="G101" s="406">
        <v>232375</v>
      </c>
      <c r="H101" s="428">
        <v>32466.198637614907</v>
      </c>
      <c r="I101" s="405">
        <v>32466.198637614907</v>
      </c>
      <c r="J101" s="54">
        <f t="shared" si="27"/>
        <v>0</v>
      </c>
      <c r="K101" s="54"/>
      <c r="L101" s="324">
        <f>H101</f>
        <v>32466.198637614907</v>
      </c>
      <c r="M101" s="63">
        <f>IF(L101&lt;&gt;0,+H101-L101,0)</f>
        <v>0</v>
      </c>
      <c r="N101" s="324">
        <f>I101</f>
        <v>32466.198637614907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2021</v>
      </c>
      <c r="D102" s="405">
        <v>229538</v>
      </c>
      <c r="E102" s="406">
        <v>5951</v>
      </c>
      <c r="F102" s="405">
        <v>223587</v>
      </c>
      <c r="G102" s="406">
        <v>226562.5</v>
      </c>
      <c r="H102" s="428">
        <v>31732.179671191017</v>
      </c>
      <c r="I102" s="405">
        <v>31732.179671191017</v>
      </c>
      <c r="J102" s="54">
        <f t="shared" si="27"/>
        <v>0</v>
      </c>
      <c r="K102" s="54"/>
      <c r="L102" s="324">
        <f>H102</f>
        <v>31732.179671191017</v>
      </c>
      <c r="M102" s="63">
        <f>IF(L102&lt;&gt;0,+H102-L102,0)</f>
        <v>0</v>
      </c>
      <c r="N102" s="324">
        <f>I102</f>
        <v>31732.179671191017</v>
      </c>
      <c r="O102" s="54">
        <f t="shared" ref="O102" si="34">IF(N102&lt;&gt;0,+I102-N102,0)</f>
        <v>0</v>
      </c>
      <c r="P102" s="54">
        <f t="shared" ref="P102" si="35">+O102-M102</f>
        <v>0</v>
      </c>
    </row>
    <row r="103" spans="1:16" ht="12.5">
      <c r="B103" s="7" t="str">
        <f t="shared" si="33"/>
        <v/>
      </c>
      <c r="C103" s="450">
        <f>IF(D93="","-",+C102+1)</f>
        <v>2022</v>
      </c>
      <c r="D103" s="405">
        <v>223587</v>
      </c>
      <c r="E103" s="406">
        <v>6256</v>
      </c>
      <c r="F103" s="405">
        <v>217331</v>
      </c>
      <c r="G103" s="406">
        <v>220459</v>
      </c>
      <c r="H103" s="428">
        <v>30546.757470312874</v>
      </c>
      <c r="I103" s="405">
        <v>30546.757470312874</v>
      </c>
      <c r="J103" s="54">
        <f t="shared" si="27"/>
        <v>0</v>
      </c>
      <c r="K103" s="54"/>
      <c r="L103" s="324">
        <f t="shared" ref="L103:L104" si="36">H103</f>
        <v>30546.757470312874</v>
      </c>
      <c r="M103" s="63">
        <f t="shared" ref="M103:M104" si="37">IF(L103&lt;&gt;0,+H103-L103,0)</f>
        <v>0</v>
      </c>
      <c r="N103" s="324">
        <f t="shared" ref="N103:N104" si="38">I103</f>
        <v>30546.757470312874</v>
      </c>
      <c r="O103" s="54">
        <f t="shared" ref="O103:O104" si="39">IF(N103&lt;&gt;0,+I103-N103,0)</f>
        <v>0</v>
      </c>
      <c r="P103" s="54">
        <f t="shared" ref="P103:P104" si="40">+O103-M103</f>
        <v>0</v>
      </c>
    </row>
    <row r="104" spans="1:16" ht="12.5">
      <c r="B104" s="7" t="str">
        <f t="shared" si="33"/>
        <v/>
      </c>
      <c r="C104" s="50">
        <f>IF(D93="","-",+C103+1)</f>
        <v>2023</v>
      </c>
      <c r="D104" s="405">
        <v>217331</v>
      </c>
      <c r="E104" s="406">
        <v>6421</v>
      </c>
      <c r="F104" s="405">
        <v>210910</v>
      </c>
      <c r="G104" s="406">
        <v>214120.5</v>
      </c>
      <c r="H104" s="428">
        <v>30879.353713761124</v>
      </c>
      <c r="I104" s="405">
        <v>30879.353713761124</v>
      </c>
      <c r="J104" s="54">
        <f t="shared" si="27"/>
        <v>0</v>
      </c>
      <c r="K104" s="54"/>
      <c r="L104" s="324">
        <f t="shared" si="36"/>
        <v>30879.353713761124</v>
      </c>
      <c r="M104" s="63">
        <f t="shared" si="37"/>
        <v>0</v>
      </c>
      <c r="N104" s="324">
        <f t="shared" si="38"/>
        <v>30879.353713761124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33"/>
        <v/>
      </c>
      <c r="C105" s="50">
        <f>IF(D93="","-",+C104+1)</f>
        <v>2024</v>
      </c>
      <c r="D105" s="405">
        <v>210910</v>
      </c>
      <c r="E105" s="406">
        <v>6421</v>
      </c>
      <c r="F105" s="405">
        <v>204489</v>
      </c>
      <c r="G105" s="406">
        <v>207699.5</v>
      </c>
      <c r="H105" s="428">
        <v>34318.928857250634</v>
      </c>
      <c r="I105" s="405">
        <v>34318.928857250634</v>
      </c>
      <c r="J105" s="54">
        <f t="shared" si="27"/>
        <v>0</v>
      </c>
      <c r="K105" s="54"/>
      <c r="L105" s="324">
        <f t="shared" ref="L105" si="41">H105</f>
        <v>34318.928857250634</v>
      </c>
      <c r="M105" s="63">
        <f t="shared" ref="M105" si="42">IF(L105&lt;&gt;0,+H105-L105,0)</f>
        <v>0</v>
      </c>
      <c r="N105" s="324">
        <f t="shared" ref="N105" si="43">I105</f>
        <v>34318.928857250634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 ht="12.5">
      <c r="B106" s="7" t="str">
        <f t="shared" si="33"/>
        <v/>
      </c>
      <c r="C106" s="50">
        <f>IF(D93="","-",+C105+1)</f>
        <v>2025</v>
      </c>
      <c r="D106" s="12">
        <f>IF(F105+SUM(E$99:E105)=D$92,F105,D$92-SUM(E$99:E105))</f>
        <v>204489</v>
      </c>
      <c r="E106" s="354">
        <f t="shared" ref="E106:E154" si="46">IF(+J$96&lt;F105,J$96,D106)</f>
        <v>6595</v>
      </c>
      <c r="F106" s="55">
        <f t="shared" ref="F106:F154" si="47">+D106-E106</f>
        <v>197894</v>
      </c>
      <c r="G106" s="55">
        <f t="shared" ref="G106:G154" si="48">+(F106+D106)/2</f>
        <v>201191.5</v>
      </c>
      <c r="H106" s="436">
        <f t="shared" ref="H106:H154" si="49">+J$94*G106+E106</f>
        <v>33618.782694149675</v>
      </c>
      <c r="I106" s="437">
        <f t="shared" ref="I106:I154" si="50">+J$95*G106+E106</f>
        <v>33618.782694149675</v>
      </c>
      <c r="J106" s="54">
        <f t="shared" si="27"/>
        <v>0</v>
      </c>
      <c r="K106" s="54"/>
      <c r="L106" s="115"/>
      <c r="M106" s="54">
        <f t="shared" ref="M106:M130" si="51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 ht="12.5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197894</v>
      </c>
      <c r="E107" s="354">
        <f t="shared" si="46"/>
        <v>6595</v>
      </c>
      <c r="F107" s="55">
        <f t="shared" si="47"/>
        <v>191299</v>
      </c>
      <c r="G107" s="55">
        <f t="shared" si="48"/>
        <v>194596.5</v>
      </c>
      <c r="H107" s="436">
        <f t="shared" si="49"/>
        <v>32732.950803299827</v>
      </c>
      <c r="I107" s="437">
        <f t="shared" si="50"/>
        <v>32732.950803299827</v>
      </c>
      <c r="J107" s="54">
        <f t="shared" si="27"/>
        <v>0</v>
      </c>
      <c r="K107" s="54"/>
      <c r="L107" s="115"/>
      <c r="M107" s="54">
        <f t="shared" si="51"/>
        <v>0</v>
      </c>
      <c r="N107" s="115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191299</v>
      </c>
      <c r="E108" s="354">
        <f t="shared" si="46"/>
        <v>6595</v>
      </c>
      <c r="F108" s="55">
        <f t="shared" si="47"/>
        <v>184704</v>
      </c>
      <c r="G108" s="55">
        <f t="shared" si="48"/>
        <v>188001.5</v>
      </c>
      <c r="H108" s="436">
        <f t="shared" si="49"/>
        <v>31847.11891244998</v>
      </c>
      <c r="I108" s="437">
        <f t="shared" si="50"/>
        <v>31847.11891244998</v>
      </c>
      <c r="J108" s="54">
        <f t="shared" si="27"/>
        <v>0</v>
      </c>
      <c r="K108" s="54"/>
      <c r="L108" s="115"/>
      <c r="M108" s="54">
        <f t="shared" si="51"/>
        <v>0</v>
      </c>
      <c r="N108" s="115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184704</v>
      </c>
      <c r="E109" s="354">
        <f t="shared" si="46"/>
        <v>6595</v>
      </c>
      <c r="F109" s="55">
        <f t="shared" si="47"/>
        <v>178109</v>
      </c>
      <c r="G109" s="55">
        <f t="shared" si="48"/>
        <v>181406.5</v>
      </c>
      <c r="H109" s="436">
        <f t="shared" si="49"/>
        <v>30961.287021600132</v>
      </c>
      <c r="I109" s="437">
        <f t="shared" si="50"/>
        <v>30961.287021600132</v>
      </c>
      <c r="J109" s="54">
        <f t="shared" si="27"/>
        <v>0</v>
      </c>
      <c r="K109" s="54"/>
      <c r="L109" s="115"/>
      <c r="M109" s="54">
        <f t="shared" si="51"/>
        <v>0</v>
      </c>
      <c r="N109" s="115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178109</v>
      </c>
      <c r="E110" s="354">
        <f t="shared" si="46"/>
        <v>6595</v>
      </c>
      <c r="F110" s="55">
        <f t="shared" si="47"/>
        <v>171514</v>
      </c>
      <c r="G110" s="55">
        <f t="shared" si="48"/>
        <v>174811.5</v>
      </c>
      <c r="H110" s="436">
        <f t="shared" si="49"/>
        <v>30075.455130750284</v>
      </c>
      <c r="I110" s="437">
        <f t="shared" si="50"/>
        <v>30075.455130750284</v>
      </c>
      <c r="J110" s="54">
        <f t="shared" si="27"/>
        <v>0</v>
      </c>
      <c r="K110" s="54"/>
      <c r="L110" s="115"/>
      <c r="M110" s="54">
        <f t="shared" si="51"/>
        <v>0</v>
      </c>
      <c r="N110" s="115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171514</v>
      </c>
      <c r="E111" s="354">
        <f t="shared" si="46"/>
        <v>6595</v>
      </c>
      <c r="F111" s="55">
        <f t="shared" si="47"/>
        <v>164919</v>
      </c>
      <c r="G111" s="55">
        <f t="shared" si="48"/>
        <v>168216.5</v>
      </c>
      <c r="H111" s="436">
        <f t="shared" si="49"/>
        <v>29189.623239900437</v>
      </c>
      <c r="I111" s="437">
        <f t="shared" si="50"/>
        <v>29189.623239900437</v>
      </c>
      <c r="J111" s="54">
        <f t="shared" si="27"/>
        <v>0</v>
      </c>
      <c r="K111" s="54"/>
      <c r="L111" s="115"/>
      <c r="M111" s="54">
        <f t="shared" si="51"/>
        <v>0</v>
      </c>
      <c r="N111" s="115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164919</v>
      </c>
      <c r="E112" s="354">
        <f t="shared" si="46"/>
        <v>6595</v>
      </c>
      <c r="F112" s="55">
        <f t="shared" si="47"/>
        <v>158324</v>
      </c>
      <c r="G112" s="55">
        <f t="shared" si="48"/>
        <v>161621.5</v>
      </c>
      <c r="H112" s="436">
        <f t="shared" si="49"/>
        <v>28303.791349050589</v>
      </c>
      <c r="I112" s="437">
        <f t="shared" si="50"/>
        <v>28303.791349050589</v>
      </c>
      <c r="J112" s="54">
        <f t="shared" si="27"/>
        <v>0</v>
      </c>
      <c r="K112" s="54"/>
      <c r="L112" s="115"/>
      <c r="M112" s="54">
        <f t="shared" si="51"/>
        <v>0</v>
      </c>
      <c r="N112" s="115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158324</v>
      </c>
      <c r="E113" s="354">
        <f t="shared" si="46"/>
        <v>6595</v>
      </c>
      <c r="F113" s="55">
        <f t="shared" si="47"/>
        <v>151729</v>
      </c>
      <c r="G113" s="55">
        <f t="shared" si="48"/>
        <v>155026.5</v>
      </c>
      <c r="H113" s="436">
        <f t="shared" si="49"/>
        <v>27417.959458200741</v>
      </c>
      <c r="I113" s="437">
        <f t="shared" si="50"/>
        <v>27417.959458200741</v>
      </c>
      <c r="J113" s="54">
        <f t="shared" si="27"/>
        <v>0</v>
      </c>
      <c r="K113" s="54"/>
      <c r="L113" s="115"/>
      <c r="M113" s="54">
        <f t="shared" si="51"/>
        <v>0</v>
      </c>
      <c r="N113" s="115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151729</v>
      </c>
      <c r="E114" s="354">
        <f t="shared" si="46"/>
        <v>6595</v>
      </c>
      <c r="F114" s="55">
        <f t="shared" si="47"/>
        <v>145134</v>
      </c>
      <c r="G114" s="55">
        <f t="shared" si="48"/>
        <v>148431.5</v>
      </c>
      <c r="H114" s="436">
        <f t="shared" si="49"/>
        <v>26532.127567350894</v>
      </c>
      <c r="I114" s="437">
        <f t="shared" si="50"/>
        <v>26532.127567350894</v>
      </c>
      <c r="J114" s="54">
        <f t="shared" si="27"/>
        <v>0</v>
      </c>
      <c r="K114" s="54"/>
      <c r="L114" s="115"/>
      <c r="M114" s="54">
        <f t="shared" si="51"/>
        <v>0</v>
      </c>
      <c r="N114" s="115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145134</v>
      </c>
      <c r="E115" s="354">
        <f t="shared" si="46"/>
        <v>6595</v>
      </c>
      <c r="F115" s="55">
        <f t="shared" si="47"/>
        <v>138539</v>
      </c>
      <c r="G115" s="55">
        <f t="shared" si="48"/>
        <v>141836.5</v>
      </c>
      <c r="H115" s="436">
        <f t="shared" si="49"/>
        <v>25646.295676501046</v>
      </c>
      <c r="I115" s="437">
        <f t="shared" si="50"/>
        <v>25646.295676501046</v>
      </c>
      <c r="J115" s="54">
        <f t="shared" si="27"/>
        <v>0</v>
      </c>
      <c r="K115" s="54"/>
      <c r="L115" s="115"/>
      <c r="M115" s="54">
        <f t="shared" si="51"/>
        <v>0</v>
      </c>
      <c r="N115" s="115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138539</v>
      </c>
      <c r="E116" s="354">
        <f t="shared" si="46"/>
        <v>6595</v>
      </c>
      <c r="F116" s="55">
        <f t="shared" si="47"/>
        <v>131944</v>
      </c>
      <c r="G116" s="55">
        <f t="shared" si="48"/>
        <v>135241.5</v>
      </c>
      <c r="H116" s="436">
        <f t="shared" si="49"/>
        <v>24760.463785651198</v>
      </c>
      <c r="I116" s="437">
        <f t="shared" si="50"/>
        <v>24760.463785651198</v>
      </c>
      <c r="J116" s="54">
        <f t="shared" si="27"/>
        <v>0</v>
      </c>
      <c r="K116" s="54"/>
      <c r="L116" s="115"/>
      <c r="M116" s="54">
        <f t="shared" si="51"/>
        <v>0</v>
      </c>
      <c r="N116" s="115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131944</v>
      </c>
      <c r="E117" s="354">
        <f t="shared" si="46"/>
        <v>6595</v>
      </c>
      <c r="F117" s="55">
        <f t="shared" si="47"/>
        <v>125349</v>
      </c>
      <c r="G117" s="55">
        <f t="shared" si="48"/>
        <v>128646.5</v>
      </c>
      <c r="H117" s="436">
        <f t="shared" si="49"/>
        <v>23874.63189480135</v>
      </c>
      <c r="I117" s="437">
        <f t="shared" si="50"/>
        <v>23874.63189480135</v>
      </c>
      <c r="J117" s="54">
        <f t="shared" si="27"/>
        <v>0</v>
      </c>
      <c r="K117" s="54"/>
      <c r="L117" s="115"/>
      <c r="M117" s="54">
        <f t="shared" si="51"/>
        <v>0</v>
      </c>
      <c r="N117" s="115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125349</v>
      </c>
      <c r="E118" s="354">
        <f t="shared" si="46"/>
        <v>6595</v>
      </c>
      <c r="F118" s="55">
        <f t="shared" si="47"/>
        <v>118754</v>
      </c>
      <c r="G118" s="55">
        <f t="shared" si="48"/>
        <v>122051.5</v>
      </c>
      <c r="H118" s="436">
        <f t="shared" si="49"/>
        <v>22988.800003951503</v>
      </c>
      <c r="I118" s="437">
        <f t="shared" si="50"/>
        <v>22988.800003951503</v>
      </c>
      <c r="J118" s="54">
        <f t="shared" si="27"/>
        <v>0</v>
      </c>
      <c r="K118" s="54"/>
      <c r="L118" s="115"/>
      <c r="M118" s="54">
        <f t="shared" si="51"/>
        <v>0</v>
      </c>
      <c r="N118" s="115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118754</v>
      </c>
      <c r="E119" s="354">
        <f t="shared" si="46"/>
        <v>6595</v>
      </c>
      <c r="F119" s="55">
        <f t="shared" si="47"/>
        <v>112159</v>
      </c>
      <c r="G119" s="55">
        <f t="shared" si="48"/>
        <v>115456.5</v>
      </c>
      <c r="H119" s="436">
        <f t="shared" si="49"/>
        <v>22102.968113101655</v>
      </c>
      <c r="I119" s="437">
        <f t="shared" si="50"/>
        <v>22102.968113101655</v>
      </c>
      <c r="J119" s="54">
        <f t="shared" si="27"/>
        <v>0</v>
      </c>
      <c r="K119" s="54"/>
      <c r="L119" s="115"/>
      <c r="M119" s="54">
        <f t="shared" si="51"/>
        <v>0</v>
      </c>
      <c r="N119" s="115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112159</v>
      </c>
      <c r="E120" s="354">
        <f t="shared" si="46"/>
        <v>6595</v>
      </c>
      <c r="F120" s="55">
        <f t="shared" si="47"/>
        <v>105564</v>
      </c>
      <c r="G120" s="55">
        <f t="shared" si="48"/>
        <v>108861.5</v>
      </c>
      <c r="H120" s="436">
        <f t="shared" si="49"/>
        <v>21217.136222251807</v>
      </c>
      <c r="I120" s="437">
        <f t="shared" si="50"/>
        <v>21217.136222251807</v>
      </c>
      <c r="J120" s="54">
        <f t="shared" si="27"/>
        <v>0</v>
      </c>
      <c r="K120" s="54"/>
      <c r="L120" s="115"/>
      <c r="M120" s="54">
        <f t="shared" si="51"/>
        <v>0</v>
      </c>
      <c r="N120" s="115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105564</v>
      </c>
      <c r="E121" s="354">
        <f t="shared" si="46"/>
        <v>6595</v>
      </c>
      <c r="F121" s="55">
        <f t="shared" si="47"/>
        <v>98969</v>
      </c>
      <c r="G121" s="55">
        <f t="shared" si="48"/>
        <v>102266.5</v>
      </c>
      <c r="H121" s="436">
        <f t="shared" si="49"/>
        <v>20331.30433140196</v>
      </c>
      <c r="I121" s="437">
        <f t="shared" si="50"/>
        <v>20331.30433140196</v>
      </c>
      <c r="J121" s="54">
        <f t="shared" si="27"/>
        <v>0</v>
      </c>
      <c r="K121" s="54"/>
      <c r="L121" s="115"/>
      <c r="M121" s="54">
        <f t="shared" si="51"/>
        <v>0</v>
      </c>
      <c r="N121" s="115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98969</v>
      </c>
      <c r="E122" s="354">
        <f t="shared" si="46"/>
        <v>6595</v>
      </c>
      <c r="F122" s="55">
        <f t="shared" si="47"/>
        <v>92374</v>
      </c>
      <c r="G122" s="55">
        <f t="shared" si="48"/>
        <v>95671.5</v>
      </c>
      <c r="H122" s="436">
        <f t="shared" si="49"/>
        <v>19445.472440552112</v>
      </c>
      <c r="I122" s="437">
        <f t="shared" si="50"/>
        <v>19445.472440552112</v>
      </c>
      <c r="J122" s="54">
        <f t="shared" si="27"/>
        <v>0</v>
      </c>
      <c r="K122" s="54"/>
      <c r="L122" s="115"/>
      <c r="M122" s="54">
        <f t="shared" si="51"/>
        <v>0</v>
      </c>
      <c r="N122" s="115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92374</v>
      </c>
      <c r="E123" s="354">
        <f t="shared" si="46"/>
        <v>6595</v>
      </c>
      <c r="F123" s="55">
        <f t="shared" si="47"/>
        <v>85779</v>
      </c>
      <c r="G123" s="55">
        <f t="shared" si="48"/>
        <v>89076.5</v>
      </c>
      <c r="H123" s="436">
        <f t="shared" si="49"/>
        <v>18559.640549702264</v>
      </c>
      <c r="I123" s="437">
        <f t="shared" si="50"/>
        <v>18559.640549702264</v>
      </c>
      <c r="J123" s="54">
        <f t="shared" si="27"/>
        <v>0</v>
      </c>
      <c r="K123" s="54"/>
      <c r="L123" s="115"/>
      <c r="M123" s="54">
        <f t="shared" si="51"/>
        <v>0</v>
      </c>
      <c r="N123" s="115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85779</v>
      </c>
      <c r="E124" s="354">
        <f t="shared" si="46"/>
        <v>6595</v>
      </c>
      <c r="F124" s="55">
        <f t="shared" si="47"/>
        <v>79184</v>
      </c>
      <c r="G124" s="55">
        <f t="shared" si="48"/>
        <v>82481.5</v>
      </c>
      <c r="H124" s="436">
        <f t="shared" si="49"/>
        <v>17673.808658852417</v>
      </c>
      <c r="I124" s="437">
        <f t="shared" si="50"/>
        <v>17673.808658852417</v>
      </c>
      <c r="J124" s="54">
        <f t="shared" si="27"/>
        <v>0</v>
      </c>
      <c r="K124" s="54"/>
      <c r="L124" s="115"/>
      <c r="M124" s="54">
        <f t="shared" si="51"/>
        <v>0</v>
      </c>
      <c r="N124" s="115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79184</v>
      </c>
      <c r="E125" s="354">
        <f t="shared" si="46"/>
        <v>6595</v>
      </c>
      <c r="F125" s="55">
        <f t="shared" si="47"/>
        <v>72589</v>
      </c>
      <c r="G125" s="55">
        <f t="shared" si="48"/>
        <v>75886.5</v>
      </c>
      <c r="H125" s="436">
        <f t="shared" si="49"/>
        <v>16787.976768002569</v>
      </c>
      <c r="I125" s="437">
        <f t="shared" si="50"/>
        <v>16787.976768002569</v>
      </c>
      <c r="J125" s="54">
        <f t="shared" si="27"/>
        <v>0</v>
      </c>
      <c r="K125" s="54"/>
      <c r="L125" s="115"/>
      <c r="M125" s="54">
        <f t="shared" si="51"/>
        <v>0</v>
      </c>
      <c r="N125" s="115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72589</v>
      </c>
      <c r="E126" s="354">
        <f t="shared" si="46"/>
        <v>6595</v>
      </c>
      <c r="F126" s="55">
        <f t="shared" si="47"/>
        <v>65994</v>
      </c>
      <c r="G126" s="55">
        <f t="shared" si="48"/>
        <v>69291.5</v>
      </c>
      <c r="H126" s="436">
        <f t="shared" si="49"/>
        <v>15902.144877152723</v>
      </c>
      <c r="I126" s="437">
        <f t="shared" si="50"/>
        <v>15902.144877152723</v>
      </c>
      <c r="J126" s="54">
        <f t="shared" si="27"/>
        <v>0</v>
      </c>
      <c r="K126" s="54"/>
      <c r="L126" s="115"/>
      <c r="M126" s="54">
        <f t="shared" si="51"/>
        <v>0</v>
      </c>
      <c r="N126" s="115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65994</v>
      </c>
      <c r="E127" s="354">
        <f t="shared" si="46"/>
        <v>6595</v>
      </c>
      <c r="F127" s="55">
        <f t="shared" si="47"/>
        <v>59399</v>
      </c>
      <c r="G127" s="55">
        <f t="shared" si="48"/>
        <v>62696.5</v>
      </c>
      <c r="H127" s="436">
        <f t="shared" si="49"/>
        <v>15016.312986302875</v>
      </c>
      <c r="I127" s="437">
        <f t="shared" si="50"/>
        <v>15016.312986302875</v>
      </c>
      <c r="J127" s="54">
        <f t="shared" si="27"/>
        <v>0</v>
      </c>
      <c r="K127" s="54"/>
      <c r="L127" s="115"/>
      <c r="M127" s="54">
        <f t="shared" si="51"/>
        <v>0</v>
      </c>
      <c r="N127" s="115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59399</v>
      </c>
      <c r="E128" s="354">
        <f t="shared" si="46"/>
        <v>6595</v>
      </c>
      <c r="F128" s="55">
        <f t="shared" si="47"/>
        <v>52804</v>
      </c>
      <c r="G128" s="55">
        <f t="shared" si="48"/>
        <v>56101.5</v>
      </c>
      <c r="H128" s="436">
        <f t="shared" si="49"/>
        <v>14130.481095453029</v>
      </c>
      <c r="I128" s="437">
        <f t="shared" si="50"/>
        <v>14130.481095453029</v>
      </c>
      <c r="J128" s="54">
        <f t="shared" si="27"/>
        <v>0</v>
      </c>
      <c r="K128" s="54"/>
      <c r="L128" s="115"/>
      <c r="M128" s="54">
        <f t="shared" si="51"/>
        <v>0</v>
      </c>
      <c r="N128" s="115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52804</v>
      </c>
      <c r="E129" s="354">
        <f t="shared" si="46"/>
        <v>6595</v>
      </c>
      <c r="F129" s="55">
        <f t="shared" si="47"/>
        <v>46209</v>
      </c>
      <c r="G129" s="55">
        <f t="shared" si="48"/>
        <v>49506.5</v>
      </c>
      <c r="H129" s="436">
        <f t="shared" si="49"/>
        <v>13244.649204603182</v>
      </c>
      <c r="I129" s="437">
        <f t="shared" si="50"/>
        <v>13244.649204603182</v>
      </c>
      <c r="J129" s="54">
        <f t="shared" si="27"/>
        <v>0</v>
      </c>
      <c r="K129" s="54"/>
      <c r="L129" s="115"/>
      <c r="M129" s="54">
        <f t="shared" si="51"/>
        <v>0</v>
      </c>
      <c r="N129" s="115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46209</v>
      </c>
      <c r="E130" s="354">
        <f t="shared" si="46"/>
        <v>6595</v>
      </c>
      <c r="F130" s="55">
        <f t="shared" si="47"/>
        <v>39614</v>
      </c>
      <c r="G130" s="55">
        <f t="shared" si="48"/>
        <v>42911.5</v>
      </c>
      <c r="H130" s="436">
        <f t="shared" si="49"/>
        <v>12358.817313753334</v>
      </c>
      <c r="I130" s="437">
        <f t="shared" si="50"/>
        <v>12358.817313753334</v>
      </c>
      <c r="J130" s="54">
        <f t="shared" si="27"/>
        <v>0</v>
      </c>
      <c r="K130" s="54"/>
      <c r="L130" s="115"/>
      <c r="M130" s="54">
        <f t="shared" si="51"/>
        <v>0</v>
      </c>
      <c r="N130" s="115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39614</v>
      </c>
      <c r="E131" s="354">
        <f t="shared" si="46"/>
        <v>6595</v>
      </c>
      <c r="F131" s="55">
        <f t="shared" si="47"/>
        <v>33019</v>
      </c>
      <c r="G131" s="55">
        <f t="shared" si="48"/>
        <v>36316.5</v>
      </c>
      <c r="H131" s="436">
        <f t="shared" si="49"/>
        <v>11472.985422903486</v>
      </c>
      <c r="I131" s="437">
        <f t="shared" si="50"/>
        <v>11472.985422903486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33019</v>
      </c>
      <c r="E132" s="354">
        <f t="shared" si="46"/>
        <v>6595</v>
      </c>
      <c r="F132" s="55">
        <f t="shared" si="47"/>
        <v>26424</v>
      </c>
      <c r="G132" s="55">
        <f t="shared" si="48"/>
        <v>29721.5</v>
      </c>
      <c r="H132" s="436">
        <f t="shared" si="49"/>
        <v>10587.153532053639</v>
      </c>
      <c r="I132" s="437">
        <f t="shared" si="50"/>
        <v>10587.153532053639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26424</v>
      </c>
      <c r="E133" s="354">
        <f t="shared" si="46"/>
        <v>6595</v>
      </c>
      <c r="F133" s="55">
        <f t="shared" si="47"/>
        <v>19829</v>
      </c>
      <c r="G133" s="55">
        <f t="shared" si="48"/>
        <v>23126.5</v>
      </c>
      <c r="H133" s="436">
        <f t="shared" si="49"/>
        <v>9701.3216412037909</v>
      </c>
      <c r="I133" s="437">
        <f t="shared" si="50"/>
        <v>9701.3216412037909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19829</v>
      </c>
      <c r="E134" s="354">
        <f t="shared" si="46"/>
        <v>6595</v>
      </c>
      <c r="F134" s="55">
        <f t="shared" si="47"/>
        <v>13234</v>
      </c>
      <c r="G134" s="55">
        <f t="shared" si="48"/>
        <v>16531.5</v>
      </c>
      <c r="H134" s="436">
        <f t="shared" si="49"/>
        <v>8815.4897503539432</v>
      </c>
      <c r="I134" s="437">
        <f t="shared" si="50"/>
        <v>8815.4897503539432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13234</v>
      </c>
      <c r="E135" s="354">
        <f t="shared" si="46"/>
        <v>6595</v>
      </c>
      <c r="F135" s="55">
        <f t="shared" si="47"/>
        <v>6639</v>
      </c>
      <c r="G135" s="55">
        <f t="shared" si="48"/>
        <v>9936.5</v>
      </c>
      <c r="H135" s="436">
        <f t="shared" si="49"/>
        <v>7929.6578595040955</v>
      </c>
      <c r="I135" s="437">
        <f t="shared" si="50"/>
        <v>7929.6578595040955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6639</v>
      </c>
      <c r="E136" s="354">
        <f t="shared" si="46"/>
        <v>6595</v>
      </c>
      <c r="F136" s="55">
        <f t="shared" si="47"/>
        <v>44</v>
      </c>
      <c r="G136" s="55">
        <f t="shared" si="48"/>
        <v>3341.5</v>
      </c>
      <c r="H136" s="436">
        <f t="shared" si="49"/>
        <v>7043.8259686542478</v>
      </c>
      <c r="I136" s="437">
        <f t="shared" si="50"/>
        <v>7043.8259686542478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44</v>
      </c>
      <c r="E137" s="354">
        <f t="shared" si="46"/>
        <v>44</v>
      </c>
      <c r="F137" s="55">
        <f t="shared" si="47"/>
        <v>0</v>
      </c>
      <c r="G137" s="55">
        <f t="shared" si="48"/>
        <v>22</v>
      </c>
      <c r="H137" s="436">
        <f t="shared" si="49"/>
        <v>46.955011614662112</v>
      </c>
      <c r="I137" s="437">
        <f t="shared" si="50"/>
        <v>46.955011614662112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6"/>
        <v>0</v>
      </c>
      <c r="F138" s="55">
        <f t="shared" si="47"/>
        <v>0</v>
      </c>
      <c r="G138" s="55">
        <f t="shared" si="48"/>
        <v>0</v>
      </c>
      <c r="H138" s="436">
        <f t="shared" si="49"/>
        <v>0</v>
      </c>
      <c r="I138" s="437">
        <f t="shared" si="50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6"/>
        <v>0</v>
      </c>
      <c r="F139" s="55">
        <f t="shared" si="47"/>
        <v>0</v>
      </c>
      <c r="G139" s="55">
        <f t="shared" si="48"/>
        <v>0</v>
      </c>
      <c r="H139" s="436">
        <f t="shared" si="49"/>
        <v>0</v>
      </c>
      <c r="I139" s="437">
        <f t="shared" si="50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6"/>
        <v>0</v>
      </c>
      <c r="F140" s="55">
        <f t="shared" si="47"/>
        <v>0</v>
      </c>
      <c r="G140" s="55">
        <f t="shared" si="48"/>
        <v>0</v>
      </c>
      <c r="H140" s="436">
        <f t="shared" si="49"/>
        <v>0</v>
      </c>
      <c r="I140" s="437">
        <f t="shared" si="50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6"/>
        <v>0</v>
      </c>
      <c r="F141" s="55">
        <f t="shared" si="47"/>
        <v>0</v>
      </c>
      <c r="G141" s="55">
        <f t="shared" si="48"/>
        <v>0</v>
      </c>
      <c r="H141" s="436">
        <f t="shared" si="49"/>
        <v>0</v>
      </c>
      <c r="I141" s="437">
        <f t="shared" si="50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6"/>
        <v>0</v>
      </c>
      <c r="F142" s="55">
        <f t="shared" si="47"/>
        <v>0</v>
      </c>
      <c r="G142" s="55">
        <f t="shared" si="48"/>
        <v>0</v>
      </c>
      <c r="H142" s="436">
        <f t="shared" si="49"/>
        <v>0</v>
      </c>
      <c r="I142" s="437">
        <f t="shared" si="50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6"/>
        <v>0</v>
      </c>
      <c r="F143" s="55">
        <f t="shared" si="47"/>
        <v>0</v>
      </c>
      <c r="G143" s="55">
        <f t="shared" si="48"/>
        <v>0</v>
      </c>
      <c r="H143" s="436">
        <f t="shared" si="49"/>
        <v>0</v>
      </c>
      <c r="I143" s="437">
        <f t="shared" si="50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6"/>
        <v>0</v>
      </c>
      <c r="F144" s="55">
        <f t="shared" si="47"/>
        <v>0</v>
      </c>
      <c r="G144" s="55">
        <f t="shared" si="48"/>
        <v>0</v>
      </c>
      <c r="H144" s="436">
        <f t="shared" si="49"/>
        <v>0</v>
      </c>
      <c r="I144" s="437">
        <f t="shared" si="50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6"/>
        <v>0</v>
      </c>
      <c r="F145" s="55">
        <f t="shared" si="47"/>
        <v>0</v>
      </c>
      <c r="G145" s="55">
        <f t="shared" si="48"/>
        <v>0</v>
      </c>
      <c r="H145" s="436">
        <f t="shared" si="49"/>
        <v>0</v>
      </c>
      <c r="I145" s="437">
        <f t="shared" si="50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6"/>
        <v>0</v>
      </c>
      <c r="F146" s="55">
        <f t="shared" si="47"/>
        <v>0</v>
      </c>
      <c r="G146" s="55">
        <f t="shared" si="48"/>
        <v>0</v>
      </c>
      <c r="H146" s="436">
        <f t="shared" si="49"/>
        <v>0</v>
      </c>
      <c r="I146" s="437">
        <f t="shared" si="50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6"/>
        <v>0</v>
      </c>
      <c r="F147" s="55">
        <f t="shared" si="47"/>
        <v>0</v>
      </c>
      <c r="G147" s="55">
        <f t="shared" si="48"/>
        <v>0</v>
      </c>
      <c r="H147" s="436">
        <f t="shared" si="49"/>
        <v>0</v>
      </c>
      <c r="I147" s="437">
        <f t="shared" si="50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6"/>
        <v>0</v>
      </c>
      <c r="F148" s="55">
        <f t="shared" si="47"/>
        <v>0</v>
      </c>
      <c r="G148" s="55">
        <f t="shared" si="48"/>
        <v>0</v>
      </c>
      <c r="H148" s="436">
        <f t="shared" si="49"/>
        <v>0</v>
      </c>
      <c r="I148" s="437">
        <f t="shared" si="50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6"/>
        <v>0</v>
      </c>
      <c r="F149" s="55">
        <f t="shared" si="47"/>
        <v>0</v>
      </c>
      <c r="G149" s="55">
        <f t="shared" si="48"/>
        <v>0</v>
      </c>
      <c r="H149" s="436">
        <f t="shared" si="49"/>
        <v>0</v>
      </c>
      <c r="I149" s="437">
        <f t="shared" si="50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6"/>
        <v>0</v>
      </c>
      <c r="F150" s="55">
        <f t="shared" si="47"/>
        <v>0</v>
      </c>
      <c r="G150" s="55">
        <f t="shared" si="48"/>
        <v>0</v>
      </c>
      <c r="H150" s="436">
        <f t="shared" si="49"/>
        <v>0</v>
      </c>
      <c r="I150" s="437">
        <f t="shared" si="50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6"/>
        <v>0</v>
      </c>
      <c r="F151" s="55">
        <f t="shared" si="47"/>
        <v>0</v>
      </c>
      <c r="G151" s="55">
        <f t="shared" si="48"/>
        <v>0</v>
      </c>
      <c r="H151" s="436">
        <f t="shared" si="49"/>
        <v>0</v>
      </c>
      <c r="I151" s="437">
        <f t="shared" si="50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6"/>
        <v>0</v>
      </c>
      <c r="F152" s="55">
        <f t="shared" si="47"/>
        <v>0</v>
      </c>
      <c r="G152" s="55">
        <f t="shared" si="48"/>
        <v>0</v>
      </c>
      <c r="H152" s="436">
        <f t="shared" si="49"/>
        <v>0</v>
      </c>
      <c r="I152" s="437">
        <f t="shared" si="50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6"/>
        <v>0</v>
      </c>
      <c r="F153" s="55">
        <f t="shared" si="47"/>
        <v>0</v>
      </c>
      <c r="G153" s="55">
        <f t="shared" si="48"/>
        <v>0</v>
      </c>
      <c r="H153" s="436">
        <f t="shared" si="49"/>
        <v>0</v>
      </c>
      <c r="I153" s="437">
        <f t="shared" si="50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3"/>
        <v/>
      </c>
      <c r="C154" s="58">
        <f>IF(D93="","-",+C153+1)</f>
        <v>2073</v>
      </c>
      <c r="D154" s="357">
        <f>IF(F153+SUM(E$99:E153)=D$92,F153,D$92-SUM(E$99:E153))</f>
        <v>0</v>
      </c>
      <c r="E154" s="357">
        <f t="shared" si="46"/>
        <v>0</v>
      </c>
      <c r="F154" s="59">
        <f t="shared" si="47"/>
        <v>0</v>
      </c>
      <c r="G154" s="59">
        <f t="shared" si="48"/>
        <v>0</v>
      </c>
      <c r="H154" s="438">
        <f t="shared" si="49"/>
        <v>0</v>
      </c>
      <c r="I154" s="439">
        <f t="shared" si="50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244000</v>
      </c>
      <c r="F155" s="267"/>
      <c r="G155" s="267"/>
      <c r="H155" s="267">
        <f>SUM(H99:H154)</f>
        <v>835997.28847362637</v>
      </c>
      <c r="I155" s="267">
        <f>SUM(I99:I154)</f>
        <v>835997.28847362637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162"/>
  <sheetViews>
    <sheetView topLeftCell="A50" zoomScale="80" zoomScaleNormal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23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136882.71772391448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136882.71772391448</v>
      </c>
      <c r="O6" s="1"/>
      <c r="P6" s="1"/>
    </row>
    <row r="7" spans="1:16" ht="13.5" thickBot="1">
      <c r="C7" s="26" t="s">
        <v>46</v>
      </c>
      <c r="D7" s="88" t="s">
        <v>303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304</v>
      </c>
      <c r="E9" s="404" t="s">
        <v>305</v>
      </c>
      <c r="F9" s="32"/>
      <c r="G9" s="452" t="s">
        <v>409</v>
      </c>
      <c r="H9" s="32"/>
      <c r="I9" s="33"/>
      <c r="J9" s="34"/>
      <c r="P9" s="1"/>
    </row>
    <row r="10" spans="1:16" ht="13">
      <c r="C10" s="128" t="s">
        <v>226</v>
      </c>
      <c r="D10" s="336">
        <v>1165593.0099999998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5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30673.50026315789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3">
        <v>19755.555555555555</v>
      </c>
      <c r="F17" s="411">
        <v>1758244.4444444445</v>
      </c>
      <c r="G17" s="433">
        <v>125038.30164155026</v>
      </c>
      <c r="H17" s="414">
        <v>125038.30164155026</v>
      </c>
      <c r="I17" s="52">
        <f>H17-G17</f>
        <v>0</v>
      </c>
      <c r="J17" s="52"/>
      <c r="K17" s="117">
        <f t="shared" ref="K17:K22" si="0">+G17</f>
        <v>125038.30164155026</v>
      </c>
      <c r="L17" s="53">
        <f t="shared" ref="L17:L72" si="1">IF(K17&lt;&gt;0,+G17-K17,0)</f>
        <v>0</v>
      </c>
      <c r="M17" s="117">
        <f t="shared" ref="M17:M22" si="2">+H17</f>
        <v>125038.30164155026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2019</v>
      </c>
      <c r="D18" s="411">
        <v>2017244.4444444445</v>
      </c>
      <c r="E18" s="412">
        <v>50925</v>
      </c>
      <c r="F18" s="411">
        <v>1966319.4444444445</v>
      </c>
      <c r="G18" s="412">
        <v>273320.66219595348</v>
      </c>
      <c r="H18" s="414">
        <v>273320.66219595348</v>
      </c>
      <c r="I18" s="52">
        <f>H18-G18</f>
        <v>0</v>
      </c>
      <c r="J18" s="52"/>
      <c r="K18" s="54">
        <f t="shared" si="0"/>
        <v>273320.66219595348</v>
      </c>
      <c r="L18" s="54">
        <f t="shared" si="1"/>
        <v>0</v>
      </c>
      <c r="M18" s="54">
        <f t="shared" si="2"/>
        <v>273320.66219595348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1141057.3333333333</v>
      </c>
      <c r="E19" s="412">
        <v>28579.142857142859</v>
      </c>
      <c r="F19" s="411">
        <v>1112478.1904761903</v>
      </c>
      <c r="G19" s="412">
        <v>150275.44361099388</v>
      </c>
      <c r="H19" s="414">
        <v>150275.44361099388</v>
      </c>
      <c r="I19" s="52">
        <f t="shared" ref="I19:I71" si="5">H19-G19</f>
        <v>0</v>
      </c>
      <c r="J19" s="52"/>
      <c r="K19" s="54">
        <f t="shared" si="0"/>
        <v>150275.44361099388</v>
      </c>
      <c r="L19" s="54">
        <f t="shared" ref="L19" si="6">IF(K19&lt;&gt;0,+G19-K19,0)</f>
        <v>0</v>
      </c>
      <c r="M19" s="54">
        <f t="shared" si="2"/>
        <v>150275.44361099388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1076920.3015873015</v>
      </c>
      <c r="E20" s="412">
        <v>27353.023255813954</v>
      </c>
      <c r="F20" s="411">
        <v>1049567.2783314877</v>
      </c>
      <c r="G20" s="412">
        <v>141993.72505975311</v>
      </c>
      <c r="H20" s="414">
        <v>141993.72505975311</v>
      </c>
      <c r="I20" s="52">
        <f t="shared" si="5"/>
        <v>0</v>
      </c>
      <c r="J20" s="52"/>
      <c r="K20" s="54">
        <f t="shared" si="0"/>
        <v>141993.72505975311</v>
      </c>
      <c r="L20" s="54">
        <f t="shared" ref="L20" si="8">IF(K20&lt;&gt;0,+G20-K20,0)</f>
        <v>0</v>
      </c>
      <c r="M20" s="54">
        <f t="shared" si="2"/>
        <v>141993.72505975311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11">
        <v>1038980.2783314877</v>
      </c>
      <c r="E21" s="412">
        <v>27752.214285714286</v>
      </c>
      <c r="F21" s="411">
        <v>1011228.0640457734</v>
      </c>
      <c r="G21" s="412">
        <v>138269.97206377087</v>
      </c>
      <c r="H21" s="414">
        <v>138269.97206377087</v>
      </c>
      <c r="I21" s="52">
        <f t="shared" si="5"/>
        <v>0</v>
      </c>
      <c r="J21" s="52"/>
      <c r="K21" s="54">
        <f t="shared" si="0"/>
        <v>138269.97206377087</v>
      </c>
      <c r="L21" s="54">
        <f t="shared" ref="L21" si="9">IF(K21&lt;&gt;0,+G21-K21,0)</f>
        <v>0</v>
      </c>
      <c r="M21" s="54">
        <f t="shared" si="2"/>
        <v>138269.97206377087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1011228.0740457731</v>
      </c>
      <c r="E22" s="412">
        <v>29887.000256410251</v>
      </c>
      <c r="F22" s="411">
        <v>981341.07378936291</v>
      </c>
      <c r="G22" s="412">
        <v>148802.48155476435</v>
      </c>
      <c r="H22" s="414">
        <v>148802.48155476435</v>
      </c>
      <c r="I22" s="52">
        <f t="shared" si="5"/>
        <v>0</v>
      </c>
      <c r="J22" s="52"/>
      <c r="K22" s="54">
        <f t="shared" si="0"/>
        <v>148802.48155476435</v>
      </c>
      <c r="L22" s="54">
        <f t="shared" ref="L22" si="10">IF(K22&lt;&gt;0,+G22-K22,0)</f>
        <v>0</v>
      </c>
      <c r="M22" s="54">
        <f t="shared" si="2"/>
        <v>148802.48155476435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50">
        <f>IF(D11="","-",+C22+1)</f>
        <v>2024</v>
      </c>
      <c r="D23" s="411">
        <v>981341.07378936291</v>
      </c>
      <c r="E23" s="412">
        <v>30673.50026315789</v>
      </c>
      <c r="F23" s="411">
        <v>950667.57352620503</v>
      </c>
      <c r="G23" s="412">
        <v>140547.01323868823</v>
      </c>
      <c r="H23" s="414">
        <v>140547.01323868823</v>
      </c>
      <c r="I23" s="52">
        <f t="shared" si="5"/>
        <v>0</v>
      </c>
      <c r="J23" s="52"/>
      <c r="K23" s="54">
        <f t="shared" ref="K23" si="13">+G23</f>
        <v>140547.01323868823</v>
      </c>
      <c r="L23" s="54">
        <f t="shared" ref="L23" si="14">IF(K23&lt;&gt;0,+G23-K23,0)</f>
        <v>0</v>
      </c>
      <c r="M23" s="54">
        <f t="shared" ref="M23" si="15">+H23</f>
        <v>140547.01323868823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49">
        <f>IF(D11="","-",+C23+1)</f>
        <v>2025</v>
      </c>
      <c r="D24" s="411">
        <v>950667.57352620503</v>
      </c>
      <c r="E24" s="412">
        <v>30673.50026315789</v>
      </c>
      <c r="F24" s="411">
        <v>919994.07326304715</v>
      </c>
      <c r="G24" s="412">
        <v>136933.15601544653</v>
      </c>
      <c r="H24" s="414">
        <v>136933.15601544653</v>
      </c>
      <c r="I24" s="52">
        <f t="shared" si="5"/>
        <v>0</v>
      </c>
      <c r="J24" s="52"/>
      <c r="K24" s="54">
        <f t="shared" ref="K24" si="18">+G24</f>
        <v>136933.15601544653</v>
      </c>
      <c r="L24" s="54">
        <f t="shared" ref="L24" si="19">IF(K24&lt;&gt;0,+G24-K24,0)</f>
        <v>0</v>
      </c>
      <c r="M24" s="54">
        <f t="shared" ref="M24" si="20">+H24</f>
        <v>136933.15601544653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919994.07326304715</v>
      </c>
      <c r="E25" s="354">
        <f t="shared" ref="E25:E71" si="23">IF(+I$14&lt;F24,I$14,D25)</f>
        <v>30673.50026315789</v>
      </c>
      <c r="F25" s="55">
        <f t="shared" ref="F25:F71" si="24">+D25-E25</f>
        <v>889320.57299988926</v>
      </c>
      <c r="G25" s="355">
        <f t="shared" ref="G25:G71" si="25">(D25+F25)/2*I$12+E25</f>
        <v>136882.71772391448</v>
      </c>
      <c r="H25" s="337">
        <f t="shared" ref="H25:H71" si="26">+(D25+F25)/2*I$13+E25</f>
        <v>136882.71772391448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889320.57299988926</v>
      </c>
      <c r="E26" s="354">
        <f t="shared" si="23"/>
        <v>30673.50026315789</v>
      </c>
      <c r="F26" s="55">
        <f t="shared" si="24"/>
        <v>858647.07273673138</v>
      </c>
      <c r="G26" s="355">
        <f t="shared" si="25"/>
        <v>133281.56579994023</v>
      </c>
      <c r="H26" s="337">
        <f t="shared" si="26"/>
        <v>133281.56579994023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858647.07273673138</v>
      </c>
      <c r="E27" s="354">
        <f t="shared" si="23"/>
        <v>30673.50026315789</v>
      </c>
      <c r="F27" s="55">
        <f t="shared" si="24"/>
        <v>827973.5724735735</v>
      </c>
      <c r="G27" s="355">
        <f t="shared" si="25"/>
        <v>129680.41387596593</v>
      </c>
      <c r="H27" s="337">
        <f t="shared" si="26"/>
        <v>129680.41387596593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827973.5724735735</v>
      </c>
      <c r="E28" s="354">
        <f t="shared" si="23"/>
        <v>30673.50026315789</v>
      </c>
      <c r="F28" s="55">
        <f t="shared" si="24"/>
        <v>797300.07221041562</v>
      </c>
      <c r="G28" s="355">
        <f t="shared" si="25"/>
        <v>126079.26195199165</v>
      </c>
      <c r="H28" s="337">
        <f t="shared" si="26"/>
        <v>126079.26195199165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797300.07221041562</v>
      </c>
      <c r="E29" s="354">
        <f t="shared" si="23"/>
        <v>30673.50026315789</v>
      </c>
      <c r="F29" s="55">
        <f t="shared" si="24"/>
        <v>766626.57194725773</v>
      </c>
      <c r="G29" s="355">
        <f t="shared" si="25"/>
        <v>122478.11002801737</v>
      </c>
      <c r="H29" s="337">
        <f t="shared" si="26"/>
        <v>122478.11002801737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766626.57194725773</v>
      </c>
      <c r="E30" s="354">
        <f t="shared" si="23"/>
        <v>30673.50026315789</v>
      </c>
      <c r="F30" s="55">
        <f t="shared" si="24"/>
        <v>735953.07168409985</v>
      </c>
      <c r="G30" s="355">
        <f t="shared" si="25"/>
        <v>118876.95810404309</v>
      </c>
      <c r="H30" s="337">
        <f t="shared" si="26"/>
        <v>118876.95810404309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735953.07168409985</v>
      </c>
      <c r="E31" s="354">
        <f t="shared" si="23"/>
        <v>30673.50026315789</v>
      </c>
      <c r="F31" s="55">
        <f t="shared" si="24"/>
        <v>705279.57142094197</v>
      </c>
      <c r="G31" s="355">
        <f t="shared" si="25"/>
        <v>115275.80618006879</v>
      </c>
      <c r="H31" s="337">
        <f t="shared" si="26"/>
        <v>115275.80618006879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705279.57142094197</v>
      </c>
      <c r="E32" s="354">
        <f t="shared" si="23"/>
        <v>30673.50026315789</v>
      </c>
      <c r="F32" s="55">
        <f t="shared" si="24"/>
        <v>674606.07115778408</v>
      </c>
      <c r="G32" s="355">
        <f t="shared" si="25"/>
        <v>111674.65425609454</v>
      </c>
      <c r="H32" s="337">
        <f t="shared" si="26"/>
        <v>111674.65425609454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674606.07115778408</v>
      </c>
      <c r="E33" s="354">
        <f t="shared" si="23"/>
        <v>30673.50026315789</v>
      </c>
      <c r="F33" s="55">
        <f t="shared" si="24"/>
        <v>643932.5708946262</v>
      </c>
      <c r="G33" s="355">
        <f t="shared" si="25"/>
        <v>108073.50233212023</v>
      </c>
      <c r="H33" s="337">
        <f t="shared" si="26"/>
        <v>108073.50233212023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643932.5708946262</v>
      </c>
      <c r="E34" s="354">
        <f t="shared" si="23"/>
        <v>30673.50026315789</v>
      </c>
      <c r="F34" s="55">
        <f t="shared" si="24"/>
        <v>613259.07063146832</v>
      </c>
      <c r="G34" s="355">
        <f t="shared" si="25"/>
        <v>104472.35040814595</v>
      </c>
      <c r="H34" s="337">
        <f t="shared" si="26"/>
        <v>104472.35040814595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613259.07063146832</v>
      </c>
      <c r="E35" s="354">
        <f t="shared" si="23"/>
        <v>30673.50026315789</v>
      </c>
      <c r="F35" s="55">
        <f t="shared" si="24"/>
        <v>582585.57036831044</v>
      </c>
      <c r="G35" s="355">
        <f t="shared" si="25"/>
        <v>100871.19848417168</v>
      </c>
      <c r="H35" s="337">
        <f t="shared" si="26"/>
        <v>100871.19848417168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582585.57036831044</v>
      </c>
      <c r="E36" s="354">
        <f t="shared" si="23"/>
        <v>30673.50026315789</v>
      </c>
      <c r="F36" s="55">
        <f t="shared" si="24"/>
        <v>551912.07010515255</v>
      </c>
      <c r="G36" s="355">
        <f t="shared" si="25"/>
        <v>97270.046560197399</v>
      </c>
      <c r="H36" s="337">
        <f t="shared" si="26"/>
        <v>97270.046560197399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551912.07010515255</v>
      </c>
      <c r="E37" s="354">
        <f t="shared" si="23"/>
        <v>30673.50026315789</v>
      </c>
      <c r="F37" s="55">
        <f t="shared" si="24"/>
        <v>521238.56984199467</v>
      </c>
      <c r="G37" s="355">
        <f t="shared" si="25"/>
        <v>93668.894636223093</v>
      </c>
      <c r="H37" s="337">
        <f t="shared" si="26"/>
        <v>93668.894636223093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521238.56984199467</v>
      </c>
      <c r="E38" s="354">
        <f t="shared" si="23"/>
        <v>30673.50026315789</v>
      </c>
      <c r="F38" s="55">
        <f t="shared" si="24"/>
        <v>490565.06957883679</v>
      </c>
      <c r="G38" s="355">
        <f t="shared" si="25"/>
        <v>90067.74271224883</v>
      </c>
      <c r="H38" s="337">
        <f t="shared" si="26"/>
        <v>90067.74271224883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490565.06957883679</v>
      </c>
      <c r="E39" s="354">
        <f t="shared" si="23"/>
        <v>30673.50026315789</v>
      </c>
      <c r="F39" s="55">
        <f t="shared" si="24"/>
        <v>459891.56931567891</v>
      </c>
      <c r="G39" s="355">
        <f t="shared" si="25"/>
        <v>86466.590788274538</v>
      </c>
      <c r="H39" s="337">
        <f t="shared" si="26"/>
        <v>86466.590788274538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459891.56931567891</v>
      </c>
      <c r="E40" s="354">
        <f t="shared" si="23"/>
        <v>30673.50026315789</v>
      </c>
      <c r="F40" s="55">
        <f t="shared" si="24"/>
        <v>429218.06905252102</v>
      </c>
      <c r="G40" s="355">
        <f t="shared" si="25"/>
        <v>82865.43886430026</v>
      </c>
      <c r="H40" s="337">
        <f t="shared" si="26"/>
        <v>82865.43886430026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429218.06905252102</v>
      </c>
      <c r="E41" s="354">
        <f t="shared" si="23"/>
        <v>30673.50026315789</v>
      </c>
      <c r="F41" s="55">
        <f t="shared" si="24"/>
        <v>398544.56878936314</v>
      </c>
      <c r="G41" s="355">
        <f t="shared" si="25"/>
        <v>79264.286940325983</v>
      </c>
      <c r="H41" s="337">
        <f t="shared" si="26"/>
        <v>79264.286940325983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398544.56878936314</v>
      </c>
      <c r="E42" s="354">
        <f t="shared" si="23"/>
        <v>30673.50026315789</v>
      </c>
      <c r="F42" s="55">
        <f t="shared" si="24"/>
        <v>367871.06852620526</v>
      </c>
      <c r="G42" s="355">
        <f t="shared" si="25"/>
        <v>75663.135016351705</v>
      </c>
      <c r="H42" s="337">
        <f t="shared" si="26"/>
        <v>75663.135016351705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367871.06852620526</v>
      </c>
      <c r="E43" s="354">
        <f t="shared" si="23"/>
        <v>30673.50026315789</v>
      </c>
      <c r="F43" s="55">
        <f t="shared" si="24"/>
        <v>337197.56826304737</v>
      </c>
      <c r="G43" s="355">
        <f t="shared" si="25"/>
        <v>72061.983092377428</v>
      </c>
      <c r="H43" s="337">
        <f t="shared" si="26"/>
        <v>72061.983092377428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337197.56826304737</v>
      </c>
      <c r="E44" s="354">
        <f t="shared" si="23"/>
        <v>30673.50026315789</v>
      </c>
      <c r="F44" s="55">
        <f t="shared" si="24"/>
        <v>306524.06799988949</v>
      </c>
      <c r="G44" s="355">
        <f t="shared" si="25"/>
        <v>68460.831168403136</v>
      </c>
      <c r="H44" s="337">
        <f t="shared" si="26"/>
        <v>68460.831168403136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306524.06799988949</v>
      </c>
      <c r="E45" s="354">
        <f t="shared" si="23"/>
        <v>30673.50026315789</v>
      </c>
      <c r="F45" s="55">
        <f t="shared" si="24"/>
        <v>275850.56773673161</v>
      </c>
      <c r="G45" s="355">
        <f t="shared" si="25"/>
        <v>64859.679244428851</v>
      </c>
      <c r="H45" s="337">
        <f t="shared" si="26"/>
        <v>64859.679244428851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275850.56773673161</v>
      </c>
      <c r="E46" s="354">
        <f t="shared" si="23"/>
        <v>30673.50026315789</v>
      </c>
      <c r="F46" s="55">
        <f t="shared" si="24"/>
        <v>245177.06747357373</v>
      </c>
      <c r="G46" s="355">
        <f t="shared" si="25"/>
        <v>61258.527320454567</v>
      </c>
      <c r="H46" s="337">
        <f t="shared" si="26"/>
        <v>61258.527320454567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245177.06747357373</v>
      </c>
      <c r="E47" s="354">
        <f t="shared" si="23"/>
        <v>30673.50026315789</v>
      </c>
      <c r="F47" s="55">
        <f t="shared" si="24"/>
        <v>214503.56721041584</v>
      </c>
      <c r="G47" s="355">
        <f t="shared" si="25"/>
        <v>57657.375396480289</v>
      </c>
      <c r="H47" s="337">
        <f t="shared" si="26"/>
        <v>57657.375396480289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214503.56721041584</v>
      </c>
      <c r="E48" s="354">
        <f t="shared" si="23"/>
        <v>30673.50026315789</v>
      </c>
      <c r="F48" s="55">
        <f t="shared" si="24"/>
        <v>183830.06694725796</v>
      </c>
      <c r="G48" s="355">
        <f t="shared" si="25"/>
        <v>54056.223472506012</v>
      </c>
      <c r="H48" s="337">
        <f t="shared" si="26"/>
        <v>54056.223472506012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22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183830.06694725796</v>
      </c>
      <c r="E49" s="354">
        <f t="shared" si="23"/>
        <v>30673.50026315789</v>
      </c>
      <c r="F49" s="55">
        <f t="shared" si="24"/>
        <v>153156.56668410008</v>
      </c>
      <c r="G49" s="355">
        <f t="shared" si="25"/>
        <v>50455.071548531727</v>
      </c>
      <c r="H49" s="337">
        <f t="shared" si="26"/>
        <v>50455.071548531727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22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153156.56668410008</v>
      </c>
      <c r="E50" s="354">
        <f t="shared" si="23"/>
        <v>30673.50026315789</v>
      </c>
      <c r="F50" s="55">
        <f t="shared" si="24"/>
        <v>122483.0664209422</v>
      </c>
      <c r="G50" s="355">
        <f t="shared" si="25"/>
        <v>46853.919624557442</v>
      </c>
      <c r="H50" s="337">
        <f t="shared" si="26"/>
        <v>46853.919624557442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22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122483.0664209422</v>
      </c>
      <c r="E51" s="354">
        <f t="shared" si="23"/>
        <v>30673.50026315789</v>
      </c>
      <c r="F51" s="55">
        <f t="shared" si="24"/>
        <v>91809.566157784313</v>
      </c>
      <c r="G51" s="355">
        <f t="shared" si="25"/>
        <v>43252.767700583165</v>
      </c>
      <c r="H51" s="337">
        <f t="shared" si="26"/>
        <v>43252.767700583165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91809.566157784313</v>
      </c>
      <c r="E52" s="354">
        <f t="shared" si="23"/>
        <v>30673.50026315789</v>
      </c>
      <c r="F52" s="55">
        <f t="shared" si="24"/>
        <v>61136.065894626423</v>
      </c>
      <c r="G52" s="355">
        <f t="shared" si="25"/>
        <v>39651.61577660888</v>
      </c>
      <c r="H52" s="337">
        <f t="shared" si="26"/>
        <v>39651.61577660888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22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61136.065894626423</v>
      </c>
      <c r="E53" s="354">
        <f t="shared" si="23"/>
        <v>30673.50026315789</v>
      </c>
      <c r="F53" s="55">
        <f t="shared" si="24"/>
        <v>30462.565631468533</v>
      </c>
      <c r="G53" s="355">
        <f t="shared" si="25"/>
        <v>36050.463852634595</v>
      </c>
      <c r="H53" s="337">
        <f t="shared" si="26"/>
        <v>36050.463852634595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22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30462.565631468533</v>
      </c>
      <c r="E54" s="354">
        <f t="shared" si="23"/>
        <v>30462.565631468533</v>
      </c>
      <c r="F54" s="55">
        <f t="shared" si="24"/>
        <v>0</v>
      </c>
      <c r="G54" s="355">
        <f t="shared" si="25"/>
        <v>32250.759445213316</v>
      </c>
      <c r="H54" s="337">
        <f t="shared" si="26"/>
        <v>32250.759445213316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22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23"/>
        <v>0</v>
      </c>
      <c r="F55" s="55">
        <f t="shared" si="24"/>
        <v>0</v>
      </c>
      <c r="G55" s="355">
        <f t="shared" si="25"/>
        <v>0</v>
      </c>
      <c r="H55" s="337">
        <f t="shared" si="26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22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3"/>
        <v>0</v>
      </c>
      <c r="F56" s="55">
        <f t="shared" si="24"/>
        <v>0</v>
      </c>
      <c r="G56" s="355">
        <f t="shared" si="25"/>
        <v>0</v>
      </c>
      <c r="H56" s="337">
        <f t="shared" si="26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22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7">
        <f t="shared" si="26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22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7">
        <f t="shared" si="26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22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7">
        <f t="shared" si="26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22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7">
        <f t="shared" si="26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22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7">
        <f t="shared" si="26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22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7">
        <f t="shared" si="26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22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7">
        <f t="shared" si="26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22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7">
        <f t="shared" si="26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7">
        <f t="shared" si="26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7">
        <f t="shared" si="26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7">
        <f t="shared" si="26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7">
        <f t="shared" si="26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7">
        <f t="shared" si="26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7">
        <f t="shared" si="26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7">
        <f t="shared" si="26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1165593.0100000002</v>
      </c>
      <c r="F73" s="267"/>
      <c r="G73" s="267">
        <f>SUM(G17:G72)</f>
        <v>3794962.6476860959</v>
      </c>
      <c r="H73" s="267">
        <f>SUM(H17:H72)</f>
        <v>3794962.6476860959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23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140547.01323868823</v>
      </c>
      <c r="N87" s="364">
        <f>IF(J92&lt;D11,0,VLOOKUP(J92,C17:O72,11))</f>
        <v>140547.01323868823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162950.73091546952</v>
      </c>
      <c r="N88" s="367">
        <f>IF(J92&lt;D11,0,VLOOKUP(J92,C99:P154,7))</f>
        <v>162950.73091546952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138KV Move Load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22403.717676781293</v>
      </c>
      <c r="N89" s="369">
        <f>+N88-N87</f>
        <v>22403.717676781293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TP2011110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1165593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31503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2018</v>
      </c>
      <c r="D99" s="411">
        <v>0</v>
      </c>
      <c r="E99" s="433">
        <v>20674.5</v>
      </c>
      <c r="F99" s="411">
        <v>1757325.5</v>
      </c>
      <c r="G99" s="433">
        <v>878662.75</v>
      </c>
      <c r="H99" s="414">
        <v>110944.41567094853</v>
      </c>
      <c r="I99" s="432">
        <v>110944.41567094853</v>
      </c>
      <c r="J99" s="54">
        <f>+I99-H99</f>
        <v>0</v>
      </c>
      <c r="K99" s="54"/>
      <c r="L99" s="53">
        <f>+H99</f>
        <v>110944.41567094853</v>
      </c>
      <c r="M99" s="53">
        <f t="shared" ref="M99" si="27">IF(L99&lt;&gt;0,+H99-L99,0)</f>
        <v>0</v>
      </c>
      <c r="N99" s="53">
        <f>+I99</f>
        <v>110944.41567094853</v>
      </c>
      <c r="O99" s="53">
        <f t="shared" ref="O99" si="28">IF(N99&lt;&gt;0,+I99-N99,0)</f>
        <v>0</v>
      </c>
      <c r="P99" s="53">
        <f t="shared" ref="P99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05">
        <v>1155505.5</v>
      </c>
      <c r="E100" s="406">
        <v>28687</v>
      </c>
      <c r="F100" s="405">
        <v>1126818.5</v>
      </c>
      <c r="G100" s="406">
        <v>1141162</v>
      </c>
      <c r="H100" s="428">
        <v>146356.80823022424</v>
      </c>
      <c r="I100" s="405">
        <v>146356.80823022424</v>
      </c>
      <c r="J100" s="54">
        <f t="shared" ref="J100:J130" si="30">+I100-H100</f>
        <v>0</v>
      </c>
      <c r="K100" s="54"/>
      <c r="L100" s="324">
        <f>H100</f>
        <v>146356.80823022424</v>
      </c>
      <c r="M100" s="63">
        <f>IF(L100&lt;&gt;0,+H100-L100,0)</f>
        <v>0</v>
      </c>
      <c r="N100" s="324">
        <f>I100</f>
        <v>146356.80823022424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 ht="12.5">
      <c r="B101" s="7" t="str">
        <f t="shared" ref="B101:B154" si="33">IF(D101=F100,"","IU")</f>
        <v>IU</v>
      </c>
      <c r="C101" s="50">
        <f>IF(D93="","-",+C100+1)</f>
        <v>2020</v>
      </c>
      <c r="D101" s="405">
        <v>1116231.5</v>
      </c>
      <c r="E101" s="406">
        <v>27107</v>
      </c>
      <c r="F101" s="405">
        <v>1089124.5</v>
      </c>
      <c r="G101" s="406">
        <v>1102678</v>
      </c>
      <c r="H101" s="428">
        <v>154242.74183680658</v>
      </c>
      <c r="I101" s="405">
        <v>154242.74183680658</v>
      </c>
      <c r="J101" s="54">
        <f t="shared" si="30"/>
        <v>0</v>
      </c>
      <c r="K101" s="54"/>
      <c r="L101" s="324">
        <f>H101</f>
        <v>154242.74183680658</v>
      </c>
      <c r="M101" s="63">
        <f>IF(L101&lt;&gt;0,+H101-L101,0)</f>
        <v>0</v>
      </c>
      <c r="N101" s="324">
        <f>I101</f>
        <v>154242.74183680658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2021</v>
      </c>
      <c r="D102" s="405">
        <v>1089124.5</v>
      </c>
      <c r="E102" s="406">
        <v>28429</v>
      </c>
      <c r="F102" s="405">
        <v>1060695.5</v>
      </c>
      <c r="G102" s="406">
        <v>1074910</v>
      </c>
      <c r="H102" s="428">
        <v>150746.01115745076</v>
      </c>
      <c r="I102" s="405">
        <v>150746.01115745076</v>
      </c>
      <c r="J102" s="54">
        <f t="shared" si="30"/>
        <v>0</v>
      </c>
      <c r="K102" s="54"/>
      <c r="L102" s="324">
        <f>H102</f>
        <v>150746.01115745076</v>
      </c>
      <c r="M102" s="63">
        <f>IF(L102&lt;&gt;0,+H102-L102,0)</f>
        <v>0</v>
      </c>
      <c r="N102" s="324">
        <f>I102</f>
        <v>150746.01115745076</v>
      </c>
      <c r="O102" s="54">
        <f t="shared" ref="O102" si="34">IF(N102&lt;&gt;0,+I102-N102,0)</f>
        <v>0</v>
      </c>
      <c r="P102" s="54">
        <f t="shared" ref="P102" si="35">+O102-M102</f>
        <v>0</v>
      </c>
    </row>
    <row r="103" spans="1:16" ht="12.5">
      <c r="B103" s="7" t="str">
        <f t="shared" si="33"/>
        <v/>
      </c>
      <c r="C103" s="450">
        <f>IF(D93="","-",+C102+1)</f>
        <v>2022</v>
      </c>
      <c r="D103" s="405">
        <v>1060695.5</v>
      </c>
      <c r="E103" s="406">
        <v>29887</v>
      </c>
      <c r="F103" s="405">
        <v>1030808.5</v>
      </c>
      <c r="G103" s="406">
        <v>1045752</v>
      </c>
      <c r="H103" s="428">
        <v>145110.72961001651</v>
      </c>
      <c r="I103" s="405">
        <v>145110.72961001651</v>
      </c>
      <c r="J103" s="54">
        <f t="shared" si="30"/>
        <v>0</v>
      </c>
      <c r="K103" s="54"/>
      <c r="L103" s="324">
        <f t="shared" ref="L103:L104" si="36">H103</f>
        <v>145110.72961001651</v>
      </c>
      <c r="M103" s="63">
        <f t="shared" ref="M103:M104" si="37">IF(L103&lt;&gt;0,+H103-L103,0)</f>
        <v>0</v>
      </c>
      <c r="N103" s="324">
        <f t="shared" ref="N103:N104" si="38">I103</f>
        <v>145110.72961001651</v>
      </c>
      <c r="O103" s="54">
        <f t="shared" ref="O103:O104" si="39">IF(N103&lt;&gt;0,+I103-N103,0)</f>
        <v>0</v>
      </c>
      <c r="P103" s="54">
        <f t="shared" ref="P103:P104" si="40">+O103-M103</f>
        <v>0</v>
      </c>
    </row>
    <row r="104" spans="1:16" ht="12.5">
      <c r="B104" s="7" t="str">
        <f t="shared" si="33"/>
        <v/>
      </c>
      <c r="C104" s="50">
        <f>IF(D93="","-",+C103+1)</f>
        <v>2023</v>
      </c>
      <c r="D104" s="405">
        <v>1030808.5</v>
      </c>
      <c r="E104" s="406">
        <v>30674</v>
      </c>
      <c r="F104" s="405">
        <v>1000134.5</v>
      </c>
      <c r="G104" s="406">
        <v>1015471.5</v>
      </c>
      <c r="H104" s="428">
        <v>146668.31690680521</v>
      </c>
      <c r="I104" s="405">
        <v>146668.31690680521</v>
      </c>
      <c r="J104" s="54">
        <f t="shared" si="30"/>
        <v>0</v>
      </c>
      <c r="K104" s="54"/>
      <c r="L104" s="324">
        <f t="shared" si="36"/>
        <v>146668.31690680521</v>
      </c>
      <c r="M104" s="63">
        <f t="shared" si="37"/>
        <v>0</v>
      </c>
      <c r="N104" s="324">
        <f t="shared" si="38"/>
        <v>146668.31690680521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33"/>
        <v>IU</v>
      </c>
      <c r="C105" s="50">
        <f>IF(D93="","-",+C104+1)</f>
        <v>2024</v>
      </c>
      <c r="D105" s="405">
        <v>1000134.5099999998</v>
      </c>
      <c r="E105" s="406">
        <v>30674</v>
      </c>
      <c r="F105" s="405">
        <v>969460.50999999978</v>
      </c>
      <c r="G105" s="406">
        <v>984797.50999999978</v>
      </c>
      <c r="H105" s="428">
        <v>162950.73091546952</v>
      </c>
      <c r="I105" s="405">
        <v>162950.73091546952</v>
      </c>
      <c r="J105" s="54">
        <f t="shared" si="30"/>
        <v>0</v>
      </c>
      <c r="K105" s="54"/>
      <c r="L105" s="324">
        <f t="shared" ref="L105" si="41">H105</f>
        <v>162950.73091546952</v>
      </c>
      <c r="M105" s="63">
        <f t="shared" ref="M105" si="42">IF(L105&lt;&gt;0,+H105-L105,0)</f>
        <v>0</v>
      </c>
      <c r="N105" s="324">
        <f t="shared" ref="N105" si="43">I105</f>
        <v>162950.73091546952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 ht="12.5">
      <c r="B106" s="7" t="str">
        <f t="shared" si="33"/>
        <v>IU</v>
      </c>
      <c r="C106" s="50">
        <f>IF(D93="","-",+C105+1)</f>
        <v>2025</v>
      </c>
      <c r="D106" s="12">
        <f>IF(F105+SUM(E$99:E105)=D$92,F105,D$92-SUM(E$99:E105))</f>
        <v>969460.5</v>
      </c>
      <c r="E106" s="354">
        <f t="shared" ref="E106:E154" si="46">IF(+J$96&lt;F105,J$96,D106)</f>
        <v>31503</v>
      </c>
      <c r="F106" s="55">
        <f t="shared" ref="F106:F154" si="47">+D106-E106</f>
        <v>937957.5</v>
      </c>
      <c r="G106" s="55">
        <f t="shared" ref="G106:G154" si="48">+(F106+D106)/2</f>
        <v>953709</v>
      </c>
      <c r="H106" s="436">
        <f t="shared" ref="H106:H154" si="49">+J$94*G106+E106</f>
        <v>159603.96236399049</v>
      </c>
      <c r="I106" s="437">
        <f t="shared" ref="I106:I154" si="50">+J$95*G106+E106</f>
        <v>159603.96236399049</v>
      </c>
      <c r="J106" s="54">
        <f t="shared" si="30"/>
        <v>0</v>
      </c>
      <c r="K106" s="54"/>
      <c r="L106" s="115"/>
      <c r="M106" s="54">
        <f t="shared" ref="M106:M130" si="51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 ht="12.5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937957.5</v>
      </c>
      <c r="E107" s="354">
        <f t="shared" si="46"/>
        <v>31503</v>
      </c>
      <c r="F107" s="55">
        <f t="shared" si="47"/>
        <v>906454.5</v>
      </c>
      <c r="G107" s="55">
        <f t="shared" si="48"/>
        <v>922206</v>
      </c>
      <c r="H107" s="436">
        <f t="shared" si="49"/>
        <v>155372.52005050407</v>
      </c>
      <c r="I107" s="437">
        <f t="shared" si="50"/>
        <v>155372.52005050407</v>
      </c>
      <c r="J107" s="54">
        <f t="shared" si="30"/>
        <v>0</v>
      </c>
      <c r="K107" s="54"/>
      <c r="L107" s="115"/>
      <c r="M107" s="54">
        <f t="shared" si="51"/>
        <v>0</v>
      </c>
      <c r="N107" s="115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906454.5</v>
      </c>
      <c r="E108" s="354">
        <f t="shared" si="46"/>
        <v>31503</v>
      </c>
      <c r="F108" s="55">
        <f t="shared" si="47"/>
        <v>874951.5</v>
      </c>
      <c r="G108" s="55">
        <f t="shared" si="48"/>
        <v>890703</v>
      </c>
      <c r="H108" s="436">
        <f t="shared" si="49"/>
        <v>151141.07773701771</v>
      </c>
      <c r="I108" s="437">
        <f t="shared" si="50"/>
        <v>151141.07773701771</v>
      </c>
      <c r="J108" s="54">
        <f t="shared" si="30"/>
        <v>0</v>
      </c>
      <c r="K108" s="54"/>
      <c r="L108" s="115"/>
      <c r="M108" s="54">
        <f t="shared" si="51"/>
        <v>0</v>
      </c>
      <c r="N108" s="115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874951.5</v>
      </c>
      <c r="E109" s="354">
        <f t="shared" si="46"/>
        <v>31503</v>
      </c>
      <c r="F109" s="55">
        <f t="shared" si="47"/>
        <v>843448.5</v>
      </c>
      <c r="G109" s="55">
        <f t="shared" si="48"/>
        <v>859200</v>
      </c>
      <c r="H109" s="436">
        <f t="shared" si="49"/>
        <v>146909.63542353129</v>
      </c>
      <c r="I109" s="437">
        <f t="shared" si="50"/>
        <v>146909.63542353129</v>
      </c>
      <c r="J109" s="54">
        <f t="shared" si="30"/>
        <v>0</v>
      </c>
      <c r="K109" s="54"/>
      <c r="L109" s="115"/>
      <c r="M109" s="54">
        <f t="shared" si="51"/>
        <v>0</v>
      </c>
      <c r="N109" s="115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843448.5</v>
      </c>
      <c r="E110" s="354">
        <f t="shared" si="46"/>
        <v>31503</v>
      </c>
      <c r="F110" s="55">
        <f t="shared" si="47"/>
        <v>811945.5</v>
      </c>
      <c r="G110" s="55">
        <f t="shared" si="48"/>
        <v>827697</v>
      </c>
      <c r="H110" s="436">
        <f t="shared" si="49"/>
        <v>142678.19311004493</v>
      </c>
      <c r="I110" s="437">
        <f t="shared" si="50"/>
        <v>142678.19311004493</v>
      </c>
      <c r="J110" s="54">
        <f t="shared" si="30"/>
        <v>0</v>
      </c>
      <c r="K110" s="54"/>
      <c r="L110" s="115"/>
      <c r="M110" s="54">
        <f t="shared" si="51"/>
        <v>0</v>
      </c>
      <c r="N110" s="115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811945.5</v>
      </c>
      <c r="E111" s="354">
        <f t="shared" si="46"/>
        <v>31503</v>
      </c>
      <c r="F111" s="55">
        <f t="shared" si="47"/>
        <v>780442.5</v>
      </c>
      <c r="G111" s="55">
        <f t="shared" si="48"/>
        <v>796194</v>
      </c>
      <c r="H111" s="436">
        <f t="shared" si="49"/>
        <v>138446.75079655851</v>
      </c>
      <c r="I111" s="437">
        <f t="shared" si="50"/>
        <v>138446.75079655851</v>
      </c>
      <c r="J111" s="54">
        <f t="shared" si="30"/>
        <v>0</v>
      </c>
      <c r="K111" s="54"/>
      <c r="L111" s="115"/>
      <c r="M111" s="54">
        <f t="shared" si="51"/>
        <v>0</v>
      </c>
      <c r="N111" s="115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780442.5</v>
      </c>
      <c r="E112" s="354">
        <f t="shared" si="46"/>
        <v>31503</v>
      </c>
      <c r="F112" s="55">
        <f t="shared" si="47"/>
        <v>748939.5</v>
      </c>
      <c r="G112" s="55">
        <f t="shared" si="48"/>
        <v>764691</v>
      </c>
      <c r="H112" s="436">
        <f t="shared" si="49"/>
        <v>134215.30848307215</v>
      </c>
      <c r="I112" s="437">
        <f t="shared" si="50"/>
        <v>134215.30848307215</v>
      </c>
      <c r="J112" s="54">
        <f t="shared" si="30"/>
        <v>0</v>
      </c>
      <c r="K112" s="54"/>
      <c r="L112" s="115"/>
      <c r="M112" s="54">
        <f t="shared" si="51"/>
        <v>0</v>
      </c>
      <c r="N112" s="115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748939.5</v>
      </c>
      <c r="E113" s="354">
        <f t="shared" si="46"/>
        <v>31503</v>
      </c>
      <c r="F113" s="55">
        <f t="shared" si="47"/>
        <v>717436.5</v>
      </c>
      <c r="G113" s="55">
        <f t="shared" si="48"/>
        <v>733188</v>
      </c>
      <c r="H113" s="436">
        <f t="shared" si="49"/>
        <v>129983.86616958574</v>
      </c>
      <c r="I113" s="437">
        <f t="shared" si="50"/>
        <v>129983.86616958574</v>
      </c>
      <c r="J113" s="54">
        <f t="shared" si="30"/>
        <v>0</v>
      </c>
      <c r="K113" s="54"/>
      <c r="L113" s="115"/>
      <c r="M113" s="54">
        <f t="shared" si="51"/>
        <v>0</v>
      </c>
      <c r="N113" s="115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717436.5</v>
      </c>
      <c r="E114" s="354">
        <f t="shared" si="46"/>
        <v>31503</v>
      </c>
      <c r="F114" s="55">
        <f t="shared" si="47"/>
        <v>685933.5</v>
      </c>
      <c r="G114" s="55">
        <f t="shared" si="48"/>
        <v>701685</v>
      </c>
      <c r="H114" s="436">
        <f t="shared" si="49"/>
        <v>125752.42385609935</v>
      </c>
      <c r="I114" s="437">
        <f t="shared" si="50"/>
        <v>125752.42385609935</v>
      </c>
      <c r="J114" s="54">
        <f t="shared" si="30"/>
        <v>0</v>
      </c>
      <c r="K114" s="54"/>
      <c r="L114" s="115"/>
      <c r="M114" s="54">
        <f t="shared" si="51"/>
        <v>0</v>
      </c>
      <c r="N114" s="115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685933.5</v>
      </c>
      <c r="E115" s="354">
        <f t="shared" si="46"/>
        <v>31503</v>
      </c>
      <c r="F115" s="55">
        <f t="shared" si="47"/>
        <v>654430.5</v>
      </c>
      <c r="G115" s="55">
        <f t="shared" si="48"/>
        <v>670182</v>
      </c>
      <c r="H115" s="436">
        <f t="shared" si="49"/>
        <v>121520.98154261296</v>
      </c>
      <c r="I115" s="437">
        <f t="shared" si="50"/>
        <v>121520.98154261296</v>
      </c>
      <c r="J115" s="54">
        <f t="shared" si="30"/>
        <v>0</v>
      </c>
      <c r="K115" s="54"/>
      <c r="L115" s="115"/>
      <c r="M115" s="54">
        <f t="shared" si="51"/>
        <v>0</v>
      </c>
      <c r="N115" s="115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654430.5</v>
      </c>
      <c r="E116" s="354">
        <f t="shared" si="46"/>
        <v>31503</v>
      </c>
      <c r="F116" s="55">
        <f t="shared" si="47"/>
        <v>622927.5</v>
      </c>
      <c r="G116" s="55">
        <f t="shared" si="48"/>
        <v>638679</v>
      </c>
      <c r="H116" s="436">
        <f t="shared" si="49"/>
        <v>117289.53922912657</v>
      </c>
      <c r="I116" s="437">
        <f t="shared" si="50"/>
        <v>117289.53922912657</v>
      </c>
      <c r="J116" s="54">
        <f t="shared" si="30"/>
        <v>0</v>
      </c>
      <c r="K116" s="54"/>
      <c r="L116" s="115"/>
      <c r="M116" s="54">
        <f t="shared" si="51"/>
        <v>0</v>
      </c>
      <c r="N116" s="115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622927.5</v>
      </c>
      <c r="E117" s="354">
        <f t="shared" si="46"/>
        <v>31503</v>
      </c>
      <c r="F117" s="55">
        <f t="shared" si="47"/>
        <v>591424.5</v>
      </c>
      <c r="G117" s="55">
        <f t="shared" si="48"/>
        <v>607176</v>
      </c>
      <c r="H117" s="436">
        <f t="shared" si="49"/>
        <v>113058.09691564018</v>
      </c>
      <c r="I117" s="437">
        <f t="shared" si="50"/>
        <v>113058.09691564018</v>
      </c>
      <c r="J117" s="54">
        <f t="shared" si="30"/>
        <v>0</v>
      </c>
      <c r="K117" s="54"/>
      <c r="L117" s="115"/>
      <c r="M117" s="54">
        <f t="shared" si="51"/>
        <v>0</v>
      </c>
      <c r="N117" s="115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591424.5</v>
      </c>
      <c r="E118" s="354">
        <f t="shared" si="46"/>
        <v>31503</v>
      </c>
      <c r="F118" s="55">
        <f t="shared" si="47"/>
        <v>559921.5</v>
      </c>
      <c r="G118" s="55">
        <f t="shared" si="48"/>
        <v>575673</v>
      </c>
      <c r="H118" s="436">
        <f t="shared" si="49"/>
        <v>108826.65460215379</v>
      </c>
      <c r="I118" s="437">
        <f t="shared" si="50"/>
        <v>108826.65460215379</v>
      </c>
      <c r="J118" s="54">
        <f t="shared" si="30"/>
        <v>0</v>
      </c>
      <c r="K118" s="54"/>
      <c r="L118" s="115"/>
      <c r="M118" s="54">
        <f t="shared" si="51"/>
        <v>0</v>
      </c>
      <c r="N118" s="115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559921.5</v>
      </c>
      <c r="E119" s="354">
        <f t="shared" si="46"/>
        <v>31503</v>
      </c>
      <c r="F119" s="55">
        <f t="shared" si="47"/>
        <v>528418.5</v>
      </c>
      <c r="G119" s="55">
        <f t="shared" si="48"/>
        <v>544170</v>
      </c>
      <c r="H119" s="436">
        <f t="shared" si="49"/>
        <v>104595.2122886674</v>
      </c>
      <c r="I119" s="437">
        <f t="shared" si="50"/>
        <v>104595.2122886674</v>
      </c>
      <c r="J119" s="54">
        <f t="shared" si="30"/>
        <v>0</v>
      </c>
      <c r="K119" s="54"/>
      <c r="L119" s="115"/>
      <c r="M119" s="54">
        <f t="shared" si="51"/>
        <v>0</v>
      </c>
      <c r="N119" s="115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528418.5</v>
      </c>
      <c r="E120" s="354">
        <f t="shared" si="46"/>
        <v>31503</v>
      </c>
      <c r="F120" s="55">
        <f t="shared" si="47"/>
        <v>496915.5</v>
      </c>
      <c r="G120" s="55">
        <f t="shared" si="48"/>
        <v>512667</v>
      </c>
      <c r="H120" s="436">
        <f t="shared" si="49"/>
        <v>100363.76997518101</v>
      </c>
      <c r="I120" s="437">
        <f t="shared" si="50"/>
        <v>100363.76997518101</v>
      </c>
      <c r="J120" s="54">
        <f t="shared" si="30"/>
        <v>0</v>
      </c>
      <c r="K120" s="54"/>
      <c r="L120" s="115"/>
      <c r="M120" s="54">
        <f t="shared" si="51"/>
        <v>0</v>
      </c>
      <c r="N120" s="115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496915.5</v>
      </c>
      <c r="E121" s="354">
        <f t="shared" si="46"/>
        <v>31503</v>
      </c>
      <c r="F121" s="55">
        <f t="shared" si="47"/>
        <v>465412.5</v>
      </c>
      <c r="G121" s="55">
        <f t="shared" si="48"/>
        <v>481164</v>
      </c>
      <c r="H121" s="436">
        <f t="shared" si="49"/>
        <v>96132.327661694624</v>
      </c>
      <c r="I121" s="437">
        <f t="shared" si="50"/>
        <v>96132.327661694624</v>
      </c>
      <c r="J121" s="54">
        <f t="shared" si="30"/>
        <v>0</v>
      </c>
      <c r="K121" s="54"/>
      <c r="L121" s="115"/>
      <c r="M121" s="54">
        <f t="shared" si="51"/>
        <v>0</v>
      </c>
      <c r="N121" s="115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465412.5</v>
      </c>
      <c r="E122" s="354">
        <f t="shared" si="46"/>
        <v>31503</v>
      </c>
      <c r="F122" s="55">
        <f t="shared" si="47"/>
        <v>433909.5</v>
      </c>
      <c r="G122" s="55">
        <f t="shared" si="48"/>
        <v>449661</v>
      </c>
      <c r="H122" s="436">
        <f t="shared" si="49"/>
        <v>91900.885348208234</v>
      </c>
      <c r="I122" s="437">
        <f t="shared" si="50"/>
        <v>91900.885348208234</v>
      </c>
      <c r="J122" s="54">
        <f t="shared" si="30"/>
        <v>0</v>
      </c>
      <c r="K122" s="54"/>
      <c r="L122" s="115"/>
      <c r="M122" s="54">
        <f t="shared" si="51"/>
        <v>0</v>
      </c>
      <c r="N122" s="115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433909.5</v>
      </c>
      <c r="E123" s="354">
        <f t="shared" si="46"/>
        <v>31503</v>
      </c>
      <c r="F123" s="55">
        <f t="shared" si="47"/>
        <v>402406.5</v>
      </c>
      <c r="G123" s="55">
        <f t="shared" si="48"/>
        <v>418158</v>
      </c>
      <c r="H123" s="436">
        <f t="shared" si="49"/>
        <v>87669.443034721844</v>
      </c>
      <c r="I123" s="437">
        <f t="shared" si="50"/>
        <v>87669.443034721844</v>
      </c>
      <c r="J123" s="54">
        <f t="shared" si="30"/>
        <v>0</v>
      </c>
      <c r="K123" s="54"/>
      <c r="L123" s="115"/>
      <c r="M123" s="54">
        <f t="shared" si="51"/>
        <v>0</v>
      </c>
      <c r="N123" s="115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402406.5</v>
      </c>
      <c r="E124" s="354">
        <f t="shared" si="46"/>
        <v>31503</v>
      </c>
      <c r="F124" s="55">
        <f t="shared" si="47"/>
        <v>370903.5</v>
      </c>
      <c r="G124" s="55">
        <f t="shared" si="48"/>
        <v>386655</v>
      </c>
      <c r="H124" s="436">
        <f t="shared" si="49"/>
        <v>83438.000721235439</v>
      </c>
      <c r="I124" s="437">
        <f t="shared" si="50"/>
        <v>83438.000721235439</v>
      </c>
      <c r="J124" s="54">
        <f t="shared" si="30"/>
        <v>0</v>
      </c>
      <c r="K124" s="54"/>
      <c r="L124" s="115"/>
      <c r="M124" s="54">
        <f t="shared" si="51"/>
        <v>0</v>
      </c>
      <c r="N124" s="115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370903.5</v>
      </c>
      <c r="E125" s="354">
        <f t="shared" si="46"/>
        <v>31503</v>
      </c>
      <c r="F125" s="55">
        <f t="shared" si="47"/>
        <v>339400.5</v>
      </c>
      <c r="G125" s="55">
        <f t="shared" si="48"/>
        <v>355152</v>
      </c>
      <c r="H125" s="436">
        <f t="shared" si="49"/>
        <v>79206.558407749049</v>
      </c>
      <c r="I125" s="437">
        <f t="shared" si="50"/>
        <v>79206.558407749049</v>
      </c>
      <c r="J125" s="54">
        <f t="shared" si="30"/>
        <v>0</v>
      </c>
      <c r="K125" s="54"/>
      <c r="L125" s="115"/>
      <c r="M125" s="54">
        <f t="shared" si="51"/>
        <v>0</v>
      </c>
      <c r="N125" s="115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339400.5</v>
      </c>
      <c r="E126" s="354">
        <f t="shared" si="46"/>
        <v>31503</v>
      </c>
      <c r="F126" s="55">
        <f t="shared" si="47"/>
        <v>307897.5</v>
      </c>
      <c r="G126" s="55">
        <f t="shared" si="48"/>
        <v>323649</v>
      </c>
      <c r="H126" s="436">
        <f t="shared" si="49"/>
        <v>74975.116094262659</v>
      </c>
      <c r="I126" s="437">
        <f t="shared" si="50"/>
        <v>74975.116094262659</v>
      </c>
      <c r="J126" s="54">
        <f t="shared" si="30"/>
        <v>0</v>
      </c>
      <c r="K126" s="54"/>
      <c r="L126" s="115"/>
      <c r="M126" s="54">
        <f t="shared" si="51"/>
        <v>0</v>
      </c>
      <c r="N126" s="115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307897.5</v>
      </c>
      <c r="E127" s="354">
        <f t="shared" si="46"/>
        <v>31503</v>
      </c>
      <c r="F127" s="55">
        <f t="shared" si="47"/>
        <v>276394.5</v>
      </c>
      <c r="G127" s="55">
        <f t="shared" si="48"/>
        <v>292146</v>
      </c>
      <c r="H127" s="436">
        <f t="shared" si="49"/>
        <v>70743.673780776269</v>
      </c>
      <c r="I127" s="437">
        <f t="shared" si="50"/>
        <v>70743.673780776269</v>
      </c>
      <c r="J127" s="54">
        <f t="shared" si="30"/>
        <v>0</v>
      </c>
      <c r="K127" s="54"/>
      <c r="L127" s="115"/>
      <c r="M127" s="54">
        <f t="shared" si="51"/>
        <v>0</v>
      </c>
      <c r="N127" s="115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276394.5</v>
      </c>
      <c r="E128" s="354">
        <f t="shared" si="46"/>
        <v>31503</v>
      </c>
      <c r="F128" s="55">
        <f t="shared" si="47"/>
        <v>244891.5</v>
      </c>
      <c r="G128" s="55">
        <f t="shared" si="48"/>
        <v>260643</v>
      </c>
      <c r="H128" s="436">
        <f t="shared" si="49"/>
        <v>66512.231467289879</v>
      </c>
      <c r="I128" s="437">
        <f t="shared" si="50"/>
        <v>66512.231467289879</v>
      </c>
      <c r="J128" s="54">
        <f t="shared" si="30"/>
        <v>0</v>
      </c>
      <c r="K128" s="54"/>
      <c r="L128" s="115"/>
      <c r="M128" s="54">
        <f t="shared" si="51"/>
        <v>0</v>
      </c>
      <c r="N128" s="115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244891.5</v>
      </c>
      <c r="E129" s="354">
        <f t="shared" si="46"/>
        <v>31503</v>
      </c>
      <c r="F129" s="55">
        <f t="shared" si="47"/>
        <v>213388.5</v>
      </c>
      <c r="G129" s="55">
        <f t="shared" si="48"/>
        <v>229140</v>
      </c>
      <c r="H129" s="436">
        <f t="shared" si="49"/>
        <v>62280.789153803496</v>
      </c>
      <c r="I129" s="437">
        <f t="shared" si="50"/>
        <v>62280.789153803496</v>
      </c>
      <c r="J129" s="54">
        <f t="shared" si="30"/>
        <v>0</v>
      </c>
      <c r="K129" s="54"/>
      <c r="L129" s="115"/>
      <c r="M129" s="54">
        <f t="shared" si="51"/>
        <v>0</v>
      </c>
      <c r="N129" s="115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213388.5</v>
      </c>
      <c r="E130" s="354">
        <f t="shared" si="46"/>
        <v>31503</v>
      </c>
      <c r="F130" s="55">
        <f t="shared" si="47"/>
        <v>181885.5</v>
      </c>
      <c r="G130" s="55">
        <f t="shared" si="48"/>
        <v>197637</v>
      </c>
      <c r="H130" s="436">
        <f t="shared" si="49"/>
        <v>58049.346840317106</v>
      </c>
      <c r="I130" s="437">
        <f t="shared" si="50"/>
        <v>58049.346840317106</v>
      </c>
      <c r="J130" s="54">
        <f t="shared" si="30"/>
        <v>0</v>
      </c>
      <c r="K130" s="54"/>
      <c r="L130" s="115"/>
      <c r="M130" s="54">
        <f t="shared" si="51"/>
        <v>0</v>
      </c>
      <c r="N130" s="115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181885.5</v>
      </c>
      <c r="E131" s="354">
        <f t="shared" si="46"/>
        <v>31503</v>
      </c>
      <c r="F131" s="55">
        <f t="shared" si="47"/>
        <v>150382.5</v>
      </c>
      <c r="G131" s="55">
        <f t="shared" si="48"/>
        <v>166134</v>
      </c>
      <c r="H131" s="436">
        <f t="shared" si="49"/>
        <v>53817.904526830716</v>
      </c>
      <c r="I131" s="437">
        <f t="shared" si="50"/>
        <v>53817.904526830716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150382.5</v>
      </c>
      <c r="E132" s="354">
        <f t="shared" si="46"/>
        <v>31503</v>
      </c>
      <c r="F132" s="55">
        <f t="shared" si="47"/>
        <v>118879.5</v>
      </c>
      <c r="G132" s="55">
        <f t="shared" si="48"/>
        <v>134631</v>
      </c>
      <c r="H132" s="436">
        <f t="shared" si="49"/>
        <v>49586.462213344326</v>
      </c>
      <c r="I132" s="437">
        <f t="shared" si="50"/>
        <v>49586.462213344326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118879.5</v>
      </c>
      <c r="E133" s="354">
        <f t="shared" si="46"/>
        <v>31503</v>
      </c>
      <c r="F133" s="55">
        <f t="shared" si="47"/>
        <v>87376.5</v>
      </c>
      <c r="G133" s="55">
        <f t="shared" si="48"/>
        <v>103128</v>
      </c>
      <c r="H133" s="436">
        <f t="shared" si="49"/>
        <v>45355.019899857936</v>
      </c>
      <c r="I133" s="437">
        <f t="shared" si="50"/>
        <v>45355.019899857936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87376.5</v>
      </c>
      <c r="E134" s="354">
        <f t="shared" si="46"/>
        <v>31503</v>
      </c>
      <c r="F134" s="55">
        <f t="shared" si="47"/>
        <v>55873.5</v>
      </c>
      <c r="G134" s="55">
        <f t="shared" si="48"/>
        <v>71625</v>
      </c>
      <c r="H134" s="436">
        <f t="shared" si="49"/>
        <v>41123.577586371539</v>
      </c>
      <c r="I134" s="437">
        <f t="shared" si="50"/>
        <v>41123.577586371539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55873.5</v>
      </c>
      <c r="E135" s="354">
        <f t="shared" si="46"/>
        <v>31503</v>
      </c>
      <c r="F135" s="55">
        <f t="shared" si="47"/>
        <v>24370.5</v>
      </c>
      <c r="G135" s="55">
        <f t="shared" si="48"/>
        <v>40122</v>
      </c>
      <c r="H135" s="436">
        <f t="shared" si="49"/>
        <v>36892.135272885149</v>
      </c>
      <c r="I135" s="437">
        <f t="shared" si="50"/>
        <v>36892.135272885149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24370.5</v>
      </c>
      <c r="E136" s="354">
        <f t="shared" si="46"/>
        <v>24370.5</v>
      </c>
      <c r="F136" s="55">
        <f t="shared" si="47"/>
        <v>0</v>
      </c>
      <c r="G136" s="55">
        <f t="shared" si="48"/>
        <v>12185.25</v>
      </c>
      <c r="H136" s="436">
        <f t="shared" si="49"/>
        <v>26007.207058070977</v>
      </c>
      <c r="I136" s="437">
        <f t="shared" si="50"/>
        <v>26007.207058070977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6"/>
        <v>0</v>
      </c>
      <c r="F137" s="55">
        <f t="shared" si="47"/>
        <v>0</v>
      </c>
      <c r="G137" s="55">
        <f t="shared" si="48"/>
        <v>0</v>
      </c>
      <c r="H137" s="436">
        <f t="shared" si="49"/>
        <v>0</v>
      </c>
      <c r="I137" s="437">
        <f t="shared" si="50"/>
        <v>0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6"/>
        <v>0</v>
      </c>
      <c r="F138" s="55">
        <f t="shared" si="47"/>
        <v>0</v>
      </c>
      <c r="G138" s="55">
        <f t="shared" si="48"/>
        <v>0</v>
      </c>
      <c r="H138" s="436">
        <f t="shared" si="49"/>
        <v>0</v>
      </c>
      <c r="I138" s="437">
        <f t="shared" si="50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6"/>
        <v>0</v>
      </c>
      <c r="F139" s="55">
        <f t="shared" si="47"/>
        <v>0</v>
      </c>
      <c r="G139" s="55">
        <f t="shared" si="48"/>
        <v>0</v>
      </c>
      <c r="H139" s="436">
        <f t="shared" si="49"/>
        <v>0</v>
      </c>
      <c r="I139" s="437">
        <f t="shared" si="50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6"/>
        <v>0</v>
      </c>
      <c r="F140" s="55">
        <f t="shared" si="47"/>
        <v>0</v>
      </c>
      <c r="G140" s="55">
        <f t="shared" si="48"/>
        <v>0</v>
      </c>
      <c r="H140" s="436">
        <f t="shared" si="49"/>
        <v>0</v>
      </c>
      <c r="I140" s="437">
        <f t="shared" si="50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6"/>
        <v>0</v>
      </c>
      <c r="F141" s="55">
        <f t="shared" si="47"/>
        <v>0</v>
      </c>
      <c r="G141" s="55">
        <f t="shared" si="48"/>
        <v>0</v>
      </c>
      <c r="H141" s="436">
        <f t="shared" si="49"/>
        <v>0</v>
      </c>
      <c r="I141" s="437">
        <f t="shared" si="50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6"/>
        <v>0</v>
      </c>
      <c r="F142" s="55">
        <f t="shared" si="47"/>
        <v>0</v>
      </c>
      <c r="G142" s="55">
        <f t="shared" si="48"/>
        <v>0</v>
      </c>
      <c r="H142" s="436">
        <f t="shared" si="49"/>
        <v>0</v>
      </c>
      <c r="I142" s="437">
        <f t="shared" si="50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6"/>
        <v>0</v>
      </c>
      <c r="F143" s="55">
        <f t="shared" si="47"/>
        <v>0</v>
      </c>
      <c r="G143" s="55">
        <f t="shared" si="48"/>
        <v>0</v>
      </c>
      <c r="H143" s="436">
        <f t="shared" si="49"/>
        <v>0</v>
      </c>
      <c r="I143" s="437">
        <f t="shared" si="50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6"/>
        <v>0</v>
      </c>
      <c r="F144" s="55">
        <f t="shared" si="47"/>
        <v>0</v>
      </c>
      <c r="G144" s="55">
        <f t="shared" si="48"/>
        <v>0</v>
      </c>
      <c r="H144" s="436">
        <f t="shared" si="49"/>
        <v>0</v>
      </c>
      <c r="I144" s="437">
        <f t="shared" si="50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6"/>
        <v>0</v>
      </c>
      <c r="F145" s="55">
        <f t="shared" si="47"/>
        <v>0</v>
      </c>
      <c r="G145" s="55">
        <f t="shared" si="48"/>
        <v>0</v>
      </c>
      <c r="H145" s="436">
        <f t="shared" si="49"/>
        <v>0</v>
      </c>
      <c r="I145" s="437">
        <f t="shared" si="50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6"/>
        <v>0</v>
      </c>
      <c r="F146" s="55">
        <f t="shared" si="47"/>
        <v>0</v>
      </c>
      <c r="G146" s="55">
        <f t="shared" si="48"/>
        <v>0</v>
      </c>
      <c r="H146" s="436">
        <f t="shared" si="49"/>
        <v>0</v>
      </c>
      <c r="I146" s="437">
        <f t="shared" si="50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6"/>
        <v>0</v>
      </c>
      <c r="F147" s="55">
        <f t="shared" si="47"/>
        <v>0</v>
      </c>
      <c r="G147" s="55">
        <f t="shared" si="48"/>
        <v>0</v>
      </c>
      <c r="H147" s="436">
        <f t="shared" si="49"/>
        <v>0</v>
      </c>
      <c r="I147" s="437">
        <f t="shared" si="50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6"/>
        <v>0</v>
      </c>
      <c r="F148" s="55">
        <f t="shared" si="47"/>
        <v>0</v>
      </c>
      <c r="G148" s="55">
        <f t="shared" si="48"/>
        <v>0</v>
      </c>
      <c r="H148" s="436">
        <f t="shared" si="49"/>
        <v>0</v>
      </c>
      <c r="I148" s="437">
        <f t="shared" si="50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6"/>
        <v>0</v>
      </c>
      <c r="F149" s="55">
        <f t="shared" si="47"/>
        <v>0</v>
      </c>
      <c r="G149" s="55">
        <f t="shared" si="48"/>
        <v>0</v>
      </c>
      <c r="H149" s="436">
        <f t="shared" si="49"/>
        <v>0</v>
      </c>
      <c r="I149" s="437">
        <f t="shared" si="50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6"/>
        <v>0</v>
      </c>
      <c r="F150" s="55">
        <f t="shared" si="47"/>
        <v>0</v>
      </c>
      <c r="G150" s="55">
        <f t="shared" si="48"/>
        <v>0</v>
      </c>
      <c r="H150" s="436">
        <f t="shared" si="49"/>
        <v>0</v>
      </c>
      <c r="I150" s="437">
        <f t="shared" si="50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6"/>
        <v>0</v>
      </c>
      <c r="F151" s="55">
        <f t="shared" si="47"/>
        <v>0</v>
      </c>
      <c r="G151" s="55">
        <f t="shared" si="48"/>
        <v>0</v>
      </c>
      <c r="H151" s="436">
        <f t="shared" si="49"/>
        <v>0</v>
      </c>
      <c r="I151" s="437">
        <f t="shared" si="50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6"/>
        <v>0</v>
      </c>
      <c r="F152" s="55">
        <f t="shared" si="47"/>
        <v>0</v>
      </c>
      <c r="G152" s="55">
        <f t="shared" si="48"/>
        <v>0</v>
      </c>
      <c r="H152" s="436">
        <f t="shared" si="49"/>
        <v>0</v>
      </c>
      <c r="I152" s="437">
        <f t="shared" si="50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6"/>
        <v>0</v>
      </c>
      <c r="F153" s="55">
        <f t="shared" si="47"/>
        <v>0</v>
      </c>
      <c r="G153" s="55">
        <f t="shared" si="48"/>
        <v>0</v>
      </c>
      <c r="H153" s="436">
        <f t="shared" si="49"/>
        <v>0</v>
      </c>
      <c r="I153" s="437">
        <f t="shared" si="50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3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6"/>
        <v>0</v>
      </c>
      <c r="F154" s="59">
        <f t="shared" si="47"/>
        <v>0</v>
      </c>
      <c r="G154" s="59">
        <f t="shared" si="48"/>
        <v>0</v>
      </c>
      <c r="H154" s="438">
        <f t="shared" si="49"/>
        <v>0</v>
      </c>
      <c r="I154" s="439">
        <f t="shared" si="50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1165593</v>
      </c>
      <c r="F155" s="267"/>
      <c r="G155" s="267"/>
      <c r="H155" s="267">
        <f>SUM(H99:H154)</f>
        <v>3990468.4259389271</v>
      </c>
      <c r="I155" s="267">
        <f>SUM(I99:I154)</f>
        <v>3990468.4259389271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62"/>
  <sheetViews>
    <sheetView topLeftCell="A97" zoomScale="80" zoomScaleNormal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24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162565.93535340443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162565.93535340443</v>
      </c>
      <c r="O6" s="1"/>
      <c r="P6" s="1"/>
    </row>
    <row r="7" spans="1:16" ht="13.5" thickBot="1">
      <c r="C7" s="26" t="s">
        <v>46</v>
      </c>
      <c r="D7" s="88" t="s">
        <v>306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307</v>
      </c>
      <c r="E9" s="404" t="s">
        <v>308</v>
      </c>
      <c r="F9" s="32"/>
      <c r="G9" s="452" t="s">
        <v>410</v>
      </c>
      <c r="H9" s="32"/>
      <c r="I9" s="33"/>
      <c r="J9" s="34"/>
      <c r="P9" s="1"/>
    </row>
    <row r="10" spans="1:16" ht="13">
      <c r="C10" s="128" t="s">
        <v>226</v>
      </c>
      <c r="D10" s="336">
        <v>1345382.62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5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35404.805789473685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3">
        <v>13511.111111111109</v>
      </c>
      <c r="F17" s="411">
        <v>1202488.888888889</v>
      </c>
      <c r="G17" s="433">
        <v>85515.508884209848</v>
      </c>
      <c r="H17" s="414">
        <v>85515.508884209848</v>
      </c>
      <c r="I17" s="52">
        <f>H17-G17</f>
        <v>0</v>
      </c>
      <c r="J17" s="52"/>
      <c r="K17" s="117">
        <f t="shared" ref="K17:K22" si="0">+G17</f>
        <v>85515.508884209848</v>
      </c>
      <c r="L17" s="53">
        <f t="shared" ref="L17:L72" si="1">IF(K17&lt;&gt;0,+G17-K17,0)</f>
        <v>0</v>
      </c>
      <c r="M17" s="117">
        <f t="shared" ref="M17:M22" si="2">+H17</f>
        <v>85515.508884209848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11">
        <v>1202488.888888889</v>
      </c>
      <c r="E18" s="412">
        <v>30400</v>
      </c>
      <c r="F18" s="411">
        <v>1172088.888888889</v>
      </c>
      <c r="G18" s="412">
        <v>162968.67771034624</v>
      </c>
      <c r="H18" s="414">
        <v>162968.67771034624</v>
      </c>
      <c r="I18" s="52">
        <f>H18-G18</f>
        <v>0</v>
      </c>
      <c r="J18" s="52"/>
      <c r="K18" s="54">
        <f t="shared" si="0"/>
        <v>162968.67771034624</v>
      </c>
      <c r="L18" s="54">
        <f t="shared" si="1"/>
        <v>0</v>
      </c>
      <c r="M18" s="54">
        <f t="shared" si="2"/>
        <v>162968.67771034624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1304405.6666666667</v>
      </c>
      <c r="E19" s="412">
        <v>32022.357142857141</v>
      </c>
      <c r="F19" s="411">
        <v>1272383.3095238097</v>
      </c>
      <c r="G19" s="412">
        <v>171175.11640159666</v>
      </c>
      <c r="H19" s="414">
        <v>171175.11640159666</v>
      </c>
      <c r="I19" s="52">
        <f t="shared" ref="I19:I71" si="5">H19-G19</f>
        <v>0</v>
      </c>
      <c r="J19" s="52"/>
      <c r="K19" s="54">
        <f t="shared" si="0"/>
        <v>171175.11640159666</v>
      </c>
      <c r="L19" s="54">
        <f t="shared" ref="L19" si="6">IF(K19&lt;&gt;0,+G19-K19,0)</f>
        <v>0</v>
      </c>
      <c r="M19" s="54">
        <f t="shared" si="2"/>
        <v>171175.11640159666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1269449.5317460317</v>
      </c>
      <c r="E20" s="412">
        <v>31287.976744186046</v>
      </c>
      <c r="F20" s="411">
        <v>1238161.5550018456</v>
      </c>
      <c r="G20" s="412">
        <v>166475.36158990141</v>
      </c>
      <c r="H20" s="414">
        <v>166475.36158990141</v>
      </c>
      <c r="I20" s="52">
        <f t="shared" si="5"/>
        <v>0</v>
      </c>
      <c r="J20" s="52"/>
      <c r="K20" s="54">
        <f t="shared" si="0"/>
        <v>166475.36158990141</v>
      </c>
      <c r="L20" s="54">
        <f t="shared" ref="L20" si="8">IF(K20&lt;&gt;0,+G20-K20,0)</f>
        <v>0</v>
      </c>
      <c r="M20" s="54">
        <f t="shared" si="2"/>
        <v>166475.36158990141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1238161.5550018456</v>
      </c>
      <c r="E21" s="412">
        <v>32032.928571428572</v>
      </c>
      <c r="F21" s="411">
        <v>1206128.6264304169</v>
      </c>
      <c r="G21" s="412">
        <v>163793.91335875148</v>
      </c>
      <c r="H21" s="414">
        <v>163793.91335875148</v>
      </c>
      <c r="I21" s="52">
        <f t="shared" si="5"/>
        <v>0</v>
      </c>
      <c r="J21" s="52"/>
      <c r="K21" s="54">
        <f t="shared" si="0"/>
        <v>163793.91335875148</v>
      </c>
      <c r="L21" s="54">
        <f t="shared" ref="L21" si="9">IF(K21&lt;&gt;0,+G21-K21,0)</f>
        <v>0</v>
      </c>
      <c r="M21" s="54">
        <f t="shared" si="2"/>
        <v>163793.91335875148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1206128.2464304173</v>
      </c>
      <c r="E22" s="412">
        <v>34496.990256410259</v>
      </c>
      <c r="F22" s="411">
        <v>1171631.256174007</v>
      </c>
      <c r="G22" s="412">
        <v>176400.42982895498</v>
      </c>
      <c r="H22" s="414">
        <v>176400.42982895498</v>
      </c>
      <c r="I22" s="52">
        <f t="shared" si="5"/>
        <v>0</v>
      </c>
      <c r="J22" s="52"/>
      <c r="K22" s="54">
        <f t="shared" si="0"/>
        <v>176400.42982895498</v>
      </c>
      <c r="L22" s="54">
        <f t="shared" ref="L22" si="10">IF(K22&lt;&gt;0,+G22-K22,0)</f>
        <v>0</v>
      </c>
      <c r="M22" s="54">
        <f t="shared" si="2"/>
        <v>176400.42982895498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50">
        <f>IF(D11="","-",+C22+1)</f>
        <v>2024</v>
      </c>
      <c r="D23" s="411">
        <v>1171631.256174007</v>
      </c>
      <c r="E23" s="412">
        <v>35404.805789473685</v>
      </c>
      <c r="F23" s="411">
        <v>1136226.4503845333</v>
      </c>
      <c r="G23" s="412">
        <v>166652.89001495793</v>
      </c>
      <c r="H23" s="414">
        <v>166652.89001495793</v>
      </c>
      <c r="I23" s="52">
        <f t="shared" si="5"/>
        <v>0</v>
      </c>
      <c r="J23" s="52"/>
      <c r="K23" s="54">
        <f t="shared" ref="K23" si="13">+G23</f>
        <v>166652.89001495793</v>
      </c>
      <c r="L23" s="54">
        <f t="shared" ref="L23" si="14">IF(K23&lt;&gt;0,+G23-K23,0)</f>
        <v>0</v>
      </c>
      <c r="M23" s="54">
        <f t="shared" ref="M23" si="15">+H23</f>
        <v>166652.89001495793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49">
        <f>IF(D11="","-",+C23+1)</f>
        <v>2025</v>
      </c>
      <c r="D24" s="411">
        <v>1136226.4503845333</v>
      </c>
      <c r="E24" s="412">
        <v>35404.805789473685</v>
      </c>
      <c r="F24" s="411">
        <v>1100821.6445950596</v>
      </c>
      <c r="G24" s="412">
        <v>162476.40149029935</v>
      </c>
      <c r="H24" s="414">
        <v>162476.40149029935</v>
      </c>
      <c r="I24" s="52">
        <f t="shared" si="5"/>
        <v>0</v>
      </c>
      <c r="J24" s="52"/>
      <c r="K24" s="54">
        <f t="shared" ref="K24" si="18">+G24</f>
        <v>162476.40149029935</v>
      </c>
      <c r="L24" s="54">
        <f t="shared" ref="L24" si="19">IF(K24&lt;&gt;0,+G24-K24,0)</f>
        <v>0</v>
      </c>
      <c r="M24" s="54">
        <f t="shared" ref="M24" si="20">+H24</f>
        <v>162476.40149029935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1100821.6445950596</v>
      </c>
      <c r="E25" s="354">
        <f t="shared" ref="E25:E71" si="23">IF(+I$14&lt;F24,I$14,D25)</f>
        <v>35404.805789473685</v>
      </c>
      <c r="F25" s="55">
        <f t="shared" ref="F25:F71" si="24">+D25-E25</f>
        <v>1065416.8388055859</v>
      </c>
      <c r="G25" s="355">
        <f t="shared" ref="G25:G71" si="25">(D25+F25)/2*I$12+E25</f>
        <v>162565.93535340443</v>
      </c>
      <c r="H25" s="337">
        <f t="shared" ref="H25:H71" si="26">+(D25+F25)/2*I$13+E25</f>
        <v>162565.93535340443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1065416.8388055859</v>
      </c>
      <c r="E26" s="354">
        <f t="shared" si="23"/>
        <v>35404.805789473685</v>
      </c>
      <c r="F26" s="55">
        <f t="shared" si="24"/>
        <v>1030012.0330161122</v>
      </c>
      <c r="G26" s="355">
        <f t="shared" si="25"/>
        <v>158409.31535917969</v>
      </c>
      <c r="H26" s="337">
        <f t="shared" si="26"/>
        <v>158409.31535917969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1030012.0330161122</v>
      </c>
      <c r="E27" s="354">
        <f t="shared" si="23"/>
        <v>35404.805789473685</v>
      </c>
      <c r="F27" s="55">
        <f t="shared" si="24"/>
        <v>994607.22722663847</v>
      </c>
      <c r="G27" s="355">
        <f t="shared" si="25"/>
        <v>154252.695364955</v>
      </c>
      <c r="H27" s="337">
        <f t="shared" si="26"/>
        <v>154252.695364955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994607.22722663847</v>
      </c>
      <c r="E28" s="354">
        <f t="shared" si="23"/>
        <v>35404.805789473685</v>
      </c>
      <c r="F28" s="55">
        <f t="shared" si="24"/>
        <v>959202.42143716477</v>
      </c>
      <c r="G28" s="355">
        <f t="shared" si="25"/>
        <v>150096.07537073025</v>
      </c>
      <c r="H28" s="337">
        <f t="shared" si="26"/>
        <v>150096.07537073025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959202.42143716477</v>
      </c>
      <c r="E29" s="354">
        <f t="shared" si="23"/>
        <v>35404.805789473685</v>
      </c>
      <c r="F29" s="55">
        <f t="shared" si="24"/>
        <v>923797.61564769107</v>
      </c>
      <c r="G29" s="355">
        <f t="shared" si="25"/>
        <v>145939.45537650556</v>
      </c>
      <c r="H29" s="337">
        <f t="shared" si="26"/>
        <v>145939.45537650556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923797.61564769107</v>
      </c>
      <c r="E30" s="354">
        <f t="shared" si="23"/>
        <v>35404.805789473685</v>
      </c>
      <c r="F30" s="55">
        <f t="shared" si="24"/>
        <v>888392.80985821737</v>
      </c>
      <c r="G30" s="355">
        <f t="shared" si="25"/>
        <v>141782.83538228084</v>
      </c>
      <c r="H30" s="337">
        <f t="shared" si="26"/>
        <v>141782.83538228084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888392.80985821737</v>
      </c>
      <c r="E31" s="354">
        <f t="shared" si="23"/>
        <v>35404.805789473685</v>
      </c>
      <c r="F31" s="55">
        <f t="shared" si="24"/>
        <v>852988.00406874367</v>
      </c>
      <c r="G31" s="355">
        <f t="shared" si="25"/>
        <v>137626.21538805612</v>
      </c>
      <c r="H31" s="337">
        <f t="shared" si="26"/>
        <v>137626.21538805612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852988.00406874367</v>
      </c>
      <c r="E32" s="354">
        <f t="shared" si="23"/>
        <v>35404.805789473685</v>
      </c>
      <c r="F32" s="55">
        <f t="shared" si="24"/>
        <v>817583.19827926997</v>
      </c>
      <c r="G32" s="355">
        <f t="shared" si="25"/>
        <v>133469.59539383143</v>
      </c>
      <c r="H32" s="337">
        <f t="shared" si="26"/>
        <v>133469.59539383143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817583.19827926997</v>
      </c>
      <c r="E33" s="354">
        <f t="shared" si="23"/>
        <v>35404.805789473685</v>
      </c>
      <c r="F33" s="55">
        <f t="shared" si="24"/>
        <v>782178.39248979627</v>
      </c>
      <c r="G33" s="355">
        <f t="shared" si="25"/>
        <v>129312.97539960672</v>
      </c>
      <c r="H33" s="337">
        <f t="shared" si="26"/>
        <v>129312.97539960672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782178.39248979627</v>
      </c>
      <c r="E34" s="354">
        <f t="shared" si="23"/>
        <v>35404.805789473685</v>
      </c>
      <c r="F34" s="55">
        <f t="shared" si="24"/>
        <v>746773.58670032257</v>
      </c>
      <c r="G34" s="355">
        <f t="shared" si="25"/>
        <v>125156.355405382</v>
      </c>
      <c r="H34" s="337">
        <f t="shared" si="26"/>
        <v>125156.355405382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746773.58670032257</v>
      </c>
      <c r="E35" s="354">
        <f t="shared" si="23"/>
        <v>35404.805789473685</v>
      </c>
      <c r="F35" s="55">
        <f t="shared" si="24"/>
        <v>711368.78091084887</v>
      </c>
      <c r="G35" s="355">
        <f t="shared" si="25"/>
        <v>120999.73541115729</v>
      </c>
      <c r="H35" s="337">
        <f t="shared" si="26"/>
        <v>120999.73541115729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711368.78091084887</v>
      </c>
      <c r="E36" s="354">
        <f t="shared" si="23"/>
        <v>35404.805789473685</v>
      </c>
      <c r="F36" s="55">
        <f t="shared" si="24"/>
        <v>675963.97512137517</v>
      </c>
      <c r="G36" s="355">
        <f t="shared" si="25"/>
        <v>116843.11541693257</v>
      </c>
      <c r="H36" s="337">
        <f t="shared" si="26"/>
        <v>116843.11541693257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675963.97512137517</v>
      </c>
      <c r="E37" s="354">
        <f t="shared" si="23"/>
        <v>35404.805789473685</v>
      </c>
      <c r="F37" s="55">
        <f t="shared" si="24"/>
        <v>640559.16933190147</v>
      </c>
      <c r="G37" s="355">
        <f t="shared" si="25"/>
        <v>112686.49542270787</v>
      </c>
      <c r="H37" s="337">
        <f t="shared" si="26"/>
        <v>112686.49542270787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640559.16933190147</v>
      </c>
      <c r="E38" s="354">
        <f t="shared" si="23"/>
        <v>35404.805789473685</v>
      </c>
      <c r="F38" s="55">
        <f t="shared" si="24"/>
        <v>605154.36354242777</v>
      </c>
      <c r="G38" s="355">
        <f t="shared" si="25"/>
        <v>108529.87542848315</v>
      </c>
      <c r="H38" s="337">
        <f t="shared" si="26"/>
        <v>108529.87542848315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605154.36354242777</v>
      </c>
      <c r="E39" s="354">
        <f t="shared" si="23"/>
        <v>35404.805789473685</v>
      </c>
      <c r="F39" s="55">
        <f t="shared" si="24"/>
        <v>569749.55775295408</v>
      </c>
      <c r="G39" s="355">
        <f t="shared" si="25"/>
        <v>104373.25543425843</v>
      </c>
      <c r="H39" s="337">
        <f t="shared" si="26"/>
        <v>104373.25543425843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569749.55775295408</v>
      </c>
      <c r="E40" s="354">
        <f t="shared" si="23"/>
        <v>35404.805789473685</v>
      </c>
      <c r="F40" s="55">
        <f t="shared" si="24"/>
        <v>534344.75196348038</v>
      </c>
      <c r="G40" s="355">
        <f t="shared" si="25"/>
        <v>100216.63544003373</v>
      </c>
      <c r="H40" s="337">
        <f t="shared" si="26"/>
        <v>100216.63544003373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534344.75196348038</v>
      </c>
      <c r="E41" s="354">
        <f t="shared" si="23"/>
        <v>35404.805789473685</v>
      </c>
      <c r="F41" s="55">
        <f t="shared" si="24"/>
        <v>498939.94617400668</v>
      </c>
      <c r="G41" s="355">
        <f t="shared" si="25"/>
        <v>96060.015445809026</v>
      </c>
      <c r="H41" s="337">
        <f t="shared" si="26"/>
        <v>96060.015445809026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498939.94617400668</v>
      </c>
      <c r="E42" s="354">
        <f t="shared" si="23"/>
        <v>35404.805789473685</v>
      </c>
      <c r="F42" s="55">
        <f t="shared" si="24"/>
        <v>463535.14038453298</v>
      </c>
      <c r="G42" s="355">
        <f t="shared" si="25"/>
        <v>91903.395451584307</v>
      </c>
      <c r="H42" s="337">
        <f t="shared" si="26"/>
        <v>91903.395451584307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463535.14038453298</v>
      </c>
      <c r="E43" s="354">
        <f t="shared" si="23"/>
        <v>35404.805789473685</v>
      </c>
      <c r="F43" s="55">
        <f t="shared" si="24"/>
        <v>428130.33459505928</v>
      </c>
      <c r="G43" s="355">
        <f t="shared" si="25"/>
        <v>87746.775457359588</v>
      </c>
      <c r="H43" s="337">
        <f t="shared" si="26"/>
        <v>87746.775457359588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428130.33459505928</v>
      </c>
      <c r="E44" s="354">
        <f t="shared" si="23"/>
        <v>35404.805789473685</v>
      </c>
      <c r="F44" s="55">
        <f t="shared" si="24"/>
        <v>392725.52880558558</v>
      </c>
      <c r="G44" s="355">
        <f t="shared" si="25"/>
        <v>83590.155463134884</v>
      </c>
      <c r="H44" s="337">
        <f t="shared" si="26"/>
        <v>83590.155463134884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392725.52880558558</v>
      </c>
      <c r="E45" s="354">
        <f t="shared" si="23"/>
        <v>35404.805789473685</v>
      </c>
      <c r="F45" s="55">
        <f t="shared" si="24"/>
        <v>357320.72301611188</v>
      </c>
      <c r="G45" s="355">
        <f t="shared" si="25"/>
        <v>79433.53546891018</v>
      </c>
      <c r="H45" s="337">
        <f t="shared" si="26"/>
        <v>79433.53546891018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357320.72301611188</v>
      </c>
      <c r="E46" s="354">
        <f t="shared" si="23"/>
        <v>35404.805789473685</v>
      </c>
      <c r="F46" s="55">
        <f t="shared" si="24"/>
        <v>321915.91722663818</v>
      </c>
      <c r="G46" s="355">
        <f t="shared" si="25"/>
        <v>75276.915474685462</v>
      </c>
      <c r="H46" s="337">
        <f t="shared" si="26"/>
        <v>75276.915474685462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321915.91722663818</v>
      </c>
      <c r="E47" s="354">
        <f t="shared" si="23"/>
        <v>35404.805789473685</v>
      </c>
      <c r="F47" s="55">
        <f t="shared" si="24"/>
        <v>286511.11143716448</v>
      </c>
      <c r="G47" s="355">
        <f t="shared" si="25"/>
        <v>71120.295480460743</v>
      </c>
      <c r="H47" s="337">
        <f t="shared" si="26"/>
        <v>71120.295480460743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286511.11143716448</v>
      </c>
      <c r="E48" s="354">
        <f t="shared" si="23"/>
        <v>35404.805789473685</v>
      </c>
      <c r="F48" s="55">
        <f t="shared" si="24"/>
        <v>251106.30564769078</v>
      </c>
      <c r="G48" s="355">
        <f t="shared" si="25"/>
        <v>66963.675486236039</v>
      </c>
      <c r="H48" s="337">
        <f t="shared" si="26"/>
        <v>66963.675486236039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251106.30564769078</v>
      </c>
      <c r="E49" s="354">
        <f t="shared" si="23"/>
        <v>35404.805789473685</v>
      </c>
      <c r="F49" s="55">
        <f t="shared" si="24"/>
        <v>215701.49985821708</v>
      </c>
      <c r="G49" s="355">
        <f t="shared" si="25"/>
        <v>62807.055492011321</v>
      </c>
      <c r="H49" s="337">
        <f t="shared" si="26"/>
        <v>62807.055492011321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215701.49985821708</v>
      </c>
      <c r="E50" s="354">
        <f t="shared" si="23"/>
        <v>35404.805789473685</v>
      </c>
      <c r="F50" s="55">
        <f t="shared" si="24"/>
        <v>180296.69406874338</v>
      </c>
      <c r="G50" s="355">
        <f t="shared" si="25"/>
        <v>58650.435497786617</v>
      </c>
      <c r="H50" s="337">
        <f t="shared" si="26"/>
        <v>58650.435497786617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180296.69406874338</v>
      </c>
      <c r="E51" s="354">
        <f t="shared" si="23"/>
        <v>35404.805789473685</v>
      </c>
      <c r="F51" s="55">
        <f t="shared" si="24"/>
        <v>144891.88827926968</v>
      </c>
      <c r="G51" s="355">
        <f t="shared" si="25"/>
        <v>54493.815503561898</v>
      </c>
      <c r="H51" s="337">
        <f t="shared" si="26"/>
        <v>54493.815503561898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144891.88827926968</v>
      </c>
      <c r="E52" s="354">
        <f t="shared" si="23"/>
        <v>35404.805789473685</v>
      </c>
      <c r="F52" s="55">
        <f t="shared" si="24"/>
        <v>109487.082489796</v>
      </c>
      <c r="G52" s="355">
        <f t="shared" si="25"/>
        <v>50337.195509337187</v>
      </c>
      <c r="H52" s="337">
        <f t="shared" si="26"/>
        <v>50337.195509337187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109487.082489796</v>
      </c>
      <c r="E53" s="354">
        <f t="shared" si="23"/>
        <v>35404.805789473685</v>
      </c>
      <c r="F53" s="55">
        <f t="shared" si="24"/>
        <v>74082.276700322313</v>
      </c>
      <c r="G53" s="355">
        <f t="shared" si="25"/>
        <v>46180.575515112476</v>
      </c>
      <c r="H53" s="337">
        <f t="shared" si="26"/>
        <v>46180.575515112476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74082.276700322313</v>
      </c>
      <c r="E54" s="354">
        <f t="shared" si="23"/>
        <v>35404.805789473685</v>
      </c>
      <c r="F54" s="55">
        <f t="shared" si="24"/>
        <v>38677.470910848628</v>
      </c>
      <c r="G54" s="355">
        <f t="shared" si="25"/>
        <v>42023.955520887772</v>
      </c>
      <c r="H54" s="337">
        <f t="shared" si="26"/>
        <v>42023.955520887772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38677.470910848628</v>
      </c>
      <c r="E55" s="354">
        <f t="shared" si="23"/>
        <v>35404.805789473685</v>
      </c>
      <c r="F55" s="55">
        <f t="shared" si="24"/>
        <v>3272.6651213749428</v>
      </c>
      <c r="G55" s="355">
        <f t="shared" si="25"/>
        <v>37867.335526663061</v>
      </c>
      <c r="H55" s="337">
        <f t="shared" si="26"/>
        <v>37867.335526663061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3272.6651213749428</v>
      </c>
      <c r="E56" s="354">
        <f t="shared" si="23"/>
        <v>3272.6651213749428</v>
      </c>
      <c r="F56" s="55">
        <f t="shared" si="24"/>
        <v>0</v>
      </c>
      <c r="G56" s="355">
        <f t="shared" si="25"/>
        <v>3464.7749914134524</v>
      </c>
      <c r="H56" s="337">
        <f t="shared" si="26"/>
        <v>3464.7749914134524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7">
        <f t="shared" si="26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7">
        <f t="shared" si="26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7">
        <f t="shared" si="26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7">
        <f t="shared" si="26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7">
        <f t="shared" si="26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7">
        <f t="shared" si="26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7">
        <f t="shared" si="26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7">
        <f t="shared" si="26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7">
        <f t="shared" si="26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7">
        <f t="shared" si="26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7">
        <f t="shared" si="26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7">
        <f t="shared" si="26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7">
        <f t="shared" si="26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7">
        <f t="shared" si="26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7">
        <f t="shared" si="26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1345382.62</v>
      </c>
      <c r="F73" s="267"/>
      <c r="G73" s="267">
        <f>SUM(G17:G72)</f>
        <v>4365638.7729114769</v>
      </c>
      <c r="H73" s="267">
        <f>SUM(H17:H72)</f>
        <v>4365638.7729114769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24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166652.89001495793</v>
      </c>
      <c r="N87" s="364">
        <f>IF(J92&lt;D11,0,VLOOKUP(J92,C17:O72,11))</f>
        <v>166652.89001495793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189154.80770395402</v>
      </c>
      <c r="N88" s="367">
        <f>IF(J92&lt;D11,0,VLOOKUP(J92,C99:P154,7))</f>
        <v>189154.80770395402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Duncan-Comanche Tap 69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22501.917688996095</v>
      </c>
      <c r="N89" s="369">
        <f>+N88-N87</f>
        <v>22501.917688996095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TP2015191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1345383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36362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2018</v>
      </c>
      <c r="D99" s="411">
        <v>0</v>
      </c>
      <c r="E99" s="433">
        <v>15290</v>
      </c>
      <c r="F99" s="411">
        <v>1299649</v>
      </c>
      <c r="G99" s="433">
        <v>649824.5</v>
      </c>
      <c r="H99" s="414">
        <v>82050.088345518569</v>
      </c>
      <c r="I99" s="432">
        <v>82050.088345518569</v>
      </c>
      <c r="J99" s="54">
        <f>+I99-H99</f>
        <v>0</v>
      </c>
      <c r="K99" s="54"/>
      <c r="L99" s="53">
        <f>+H99</f>
        <v>82050.088345518569</v>
      </c>
      <c r="M99" s="53">
        <f t="shared" ref="M99" si="27">IF(L99&lt;&gt;0,+H99-L99,0)</f>
        <v>0</v>
      </c>
      <c r="N99" s="53">
        <f>+I99</f>
        <v>82050.088345518569</v>
      </c>
      <c r="O99" s="53">
        <f t="shared" ref="O99" si="28">IF(N99&lt;&gt;0,+I99-N99,0)</f>
        <v>0</v>
      </c>
      <c r="P99" s="53">
        <f t="shared" ref="P99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05">
        <v>1330093</v>
      </c>
      <c r="E100" s="406">
        <v>32814</v>
      </c>
      <c r="F100" s="405">
        <v>1297279</v>
      </c>
      <c r="G100" s="406">
        <v>1313686</v>
      </c>
      <c r="H100" s="428">
        <v>168273.45246575892</v>
      </c>
      <c r="I100" s="405">
        <v>168273.45246575892</v>
      </c>
      <c r="J100" s="54">
        <f t="shared" ref="J100:J130" si="30">+I100-H100</f>
        <v>0</v>
      </c>
      <c r="K100" s="54"/>
      <c r="L100" s="324">
        <f>H100</f>
        <v>168273.45246575892</v>
      </c>
      <c r="M100" s="63">
        <f>IF(L100&lt;&gt;0,+H100-L100,0)</f>
        <v>0</v>
      </c>
      <c r="N100" s="324">
        <f>I100</f>
        <v>168273.45246575892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 ht="12.5">
      <c r="B101" s="7" t="str">
        <f t="shared" ref="B101:B154" si="33">IF(D101=F100,"","IU")</f>
        <v/>
      </c>
      <c r="C101" s="50">
        <f>IF(D93="","-",+C100+1)</f>
        <v>2020</v>
      </c>
      <c r="D101" s="405">
        <v>1297279</v>
      </c>
      <c r="E101" s="406">
        <v>31288</v>
      </c>
      <c r="F101" s="405">
        <v>1265991</v>
      </c>
      <c r="G101" s="406">
        <v>1281635</v>
      </c>
      <c r="H101" s="428">
        <v>179056.99193510308</v>
      </c>
      <c r="I101" s="405">
        <v>179056.99193510308</v>
      </c>
      <c r="J101" s="54">
        <f t="shared" si="30"/>
        <v>0</v>
      </c>
      <c r="K101" s="54"/>
      <c r="L101" s="324">
        <f>H101</f>
        <v>179056.99193510308</v>
      </c>
      <c r="M101" s="63">
        <f>IF(L101&lt;&gt;0,+H101-L101,0)</f>
        <v>0</v>
      </c>
      <c r="N101" s="324">
        <f>I101</f>
        <v>179056.99193510308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2021</v>
      </c>
      <c r="D102" s="405">
        <v>1265991</v>
      </c>
      <c r="E102" s="406">
        <v>32814</v>
      </c>
      <c r="F102" s="405">
        <v>1233177</v>
      </c>
      <c r="G102" s="406">
        <v>1249584</v>
      </c>
      <c r="H102" s="428">
        <v>175007.65348742867</v>
      </c>
      <c r="I102" s="405">
        <v>175007.65348742867</v>
      </c>
      <c r="J102" s="54">
        <f t="shared" si="30"/>
        <v>0</v>
      </c>
      <c r="K102" s="54"/>
      <c r="L102" s="324">
        <f>H102</f>
        <v>175007.65348742867</v>
      </c>
      <c r="M102" s="63">
        <f>IF(L102&lt;&gt;0,+H102-L102,0)</f>
        <v>0</v>
      </c>
      <c r="N102" s="324">
        <f>I102</f>
        <v>175007.65348742867</v>
      </c>
      <c r="O102" s="54">
        <f t="shared" ref="O102" si="34">IF(N102&lt;&gt;0,+I102-N102,0)</f>
        <v>0</v>
      </c>
      <c r="P102" s="54">
        <f t="shared" ref="P102" si="35">+O102-M102</f>
        <v>0</v>
      </c>
    </row>
    <row r="103" spans="1:16" ht="12.5">
      <c r="B103" s="7" t="str">
        <f t="shared" si="33"/>
        <v/>
      </c>
      <c r="C103" s="450">
        <f>IF(D93="","-",+C102+1)</f>
        <v>2022</v>
      </c>
      <c r="D103" s="405">
        <v>1233177</v>
      </c>
      <c r="E103" s="406">
        <v>34497</v>
      </c>
      <c r="F103" s="405">
        <v>1198680</v>
      </c>
      <c r="G103" s="406">
        <v>1215928.5</v>
      </c>
      <c r="H103" s="428">
        <v>168471.22783710953</v>
      </c>
      <c r="I103" s="405">
        <v>168471.22783710953</v>
      </c>
      <c r="J103" s="54">
        <f t="shared" si="30"/>
        <v>0</v>
      </c>
      <c r="K103" s="54"/>
      <c r="L103" s="324">
        <f t="shared" ref="L103:L104" si="36">H103</f>
        <v>168471.22783710953</v>
      </c>
      <c r="M103" s="63">
        <f t="shared" ref="M103:M104" si="37">IF(L103&lt;&gt;0,+H103-L103,0)</f>
        <v>0</v>
      </c>
      <c r="N103" s="324">
        <f t="shared" ref="N103:N104" si="38">I103</f>
        <v>168471.22783710953</v>
      </c>
      <c r="O103" s="54">
        <f t="shared" ref="O103:O104" si="39">IF(N103&lt;&gt;0,+I103-N103,0)</f>
        <v>0</v>
      </c>
      <c r="P103" s="54">
        <f t="shared" ref="P103:P104" si="40">+O103-M103</f>
        <v>0</v>
      </c>
    </row>
    <row r="104" spans="1:16" ht="12.5">
      <c r="B104" s="7" t="str">
        <f t="shared" si="33"/>
        <v/>
      </c>
      <c r="C104" s="50">
        <f>IF(D93="","-",+C103+1)</f>
        <v>2023</v>
      </c>
      <c r="D104" s="405">
        <v>1198680</v>
      </c>
      <c r="E104" s="406">
        <v>35405</v>
      </c>
      <c r="F104" s="405">
        <v>1163275</v>
      </c>
      <c r="G104" s="406">
        <v>1180977.5</v>
      </c>
      <c r="H104" s="428">
        <v>170304.57954980177</v>
      </c>
      <c r="I104" s="405">
        <v>170304.57954980177</v>
      </c>
      <c r="J104" s="54">
        <f t="shared" si="30"/>
        <v>0</v>
      </c>
      <c r="K104" s="54"/>
      <c r="L104" s="324">
        <f t="shared" si="36"/>
        <v>170304.57954980177</v>
      </c>
      <c r="M104" s="63">
        <f t="shared" si="37"/>
        <v>0</v>
      </c>
      <c r="N104" s="324">
        <f t="shared" si="38"/>
        <v>170304.57954980177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33"/>
        <v>IU</v>
      </c>
      <c r="C105" s="50">
        <f>IF(D93="","-",+C104+1)</f>
        <v>2024</v>
      </c>
      <c r="D105" s="405">
        <v>1162366.6200000001</v>
      </c>
      <c r="E105" s="406">
        <v>35405</v>
      </c>
      <c r="F105" s="405">
        <v>1126961.6200000001</v>
      </c>
      <c r="G105" s="406">
        <v>1144664.1200000001</v>
      </c>
      <c r="H105" s="428">
        <v>189154.80770395402</v>
      </c>
      <c r="I105" s="405">
        <v>189154.80770395402</v>
      </c>
      <c r="J105" s="54">
        <f t="shared" si="30"/>
        <v>0</v>
      </c>
      <c r="K105" s="54"/>
      <c r="L105" s="324">
        <f t="shared" ref="L105" si="41">H105</f>
        <v>189154.80770395402</v>
      </c>
      <c r="M105" s="63">
        <f t="shared" ref="M105" si="42">IF(L105&lt;&gt;0,+H105-L105,0)</f>
        <v>0</v>
      </c>
      <c r="N105" s="324">
        <f t="shared" ref="N105" si="43">I105</f>
        <v>189154.80770395402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 ht="12.5">
      <c r="B106" s="7" t="str">
        <f t="shared" si="33"/>
        <v>IU</v>
      </c>
      <c r="C106" s="50">
        <f>IF(D93="","-",+C105+1)</f>
        <v>2025</v>
      </c>
      <c r="D106" s="12">
        <f>IF(F105+SUM(E$99:E105)=D$92,F105,D$92-SUM(E$99:E105))</f>
        <v>1127870</v>
      </c>
      <c r="E106" s="354">
        <f t="shared" ref="E106:E154" si="46">IF(+J$96&lt;F105,J$96,D106)</f>
        <v>36362</v>
      </c>
      <c r="F106" s="55">
        <f t="shared" ref="F106:F154" si="47">+D106-E106</f>
        <v>1091508</v>
      </c>
      <c r="G106" s="55">
        <f t="shared" ref="G106:G154" si="48">+(F106+D106)/2</f>
        <v>1109689</v>
      </c>
      <c r="H106" s="436">
        <f t="shared" ref="H106:H154" si="49">+J$94*G106+E106</f>
        <v>185413.99471194486</v>
      </c>
      <c r="I106" s="437">
        <f t="shared" ref="I106:I154" si="50">+J$95*G106+E106</f>
        <v>185413.99471194486</v>
      </c>
      <c r="J106" s="54">
        <f t="shared" si="30"/>
        <v>0</v>
      </c>
      <c r="K106" s="54"/>
      <c r="L106" s="115"/>
      <c r="M106" s="54">
        <f t="shared" ref="M106:M130" si="51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 ht="12.5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1091508</v>
      </c>
      <c r="E107" s="354">
        <f t="shared" si="46"/>
        <v>36362</v>
      </c>
      <c r="F107" s="55">
        <f t="shared" si="47"/>
        <v>1055146</v>
      </c>
      <c r="G107" s="55">
        <f t="shared" si="48"/>
        <v>1073327</v>
      </c>
      <c r="H107" s="436">
        <f t="shared" si="49"/>
        <v>180529.89778774744</v>
      </c>
      <c r="I107" s="437">
        <f t="shared" si="50"/>
        <v>180529.89778774744</v>
      </c>
      <c r="J107" s="54">
        <f t="shared" si="30"/>
        <v>0</v>
      </c>
      <c r="K107" s="54"/>
      <c r="L107" s="115"/>
      <c r="M107" s="54">
        <f t="shared" si="51"/>
        <v>0</v>
      </c>
      <c r="N107" s="115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1055146</v>
      </c>
      <c r="E108" s="354">
        <f t="shared" si="46"/>
        <v>36362</v>
      </c>
      <c r="F108" s="55">
        <f t="shared" si="47"/>
        <v>1018784</v>
      </c>
      <c r="G108" s="55">
        <f t="shared" si="48"/>
        <v>1036965</v>
      </c>
      <c r="H108" s="436">
        <f t="shared" si="49"/>
        <v>175645.80086354999</v>
      </c>
      <c r="I108" s="437">
        <f t="shared" si="50"/>
        <v>175645.80086354999</v>
      </c>
      <c r="J108" s="54">
        <f t="shared" si="30"/>
        <v>0</v>
      </c>
      <c r="K108" s="54"/>
      <c r="L108" s="115"/>
      <c r="M108" s="54">
        <f t="shared" si="51"/>
        <v>0</v>
      </c>
      <c r="N108" s="115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1018784</v>
      </c>
      <c r="E109" s="354">
        <f t="shared" si="46"/>
        <v>36362</v>
      </c>
      <c r="F109" s="55">
        <f t="shared" si="47"/>
        <v>982422</v>
      </c>
      <c r="G109" s="55">
        <f t="shared" si="48"/>
        <v>1000603</v>
      </c>
      <c r="H109" s="436">
        <f t="shared" si="49"/>
        <v>170761.70393935253</v>
      </c>
      <c r="I109" s="437">
        <f t="shared" si="50"/>
        <v>170761.70393935253</v>
      </c>
      <c r="J109" s="54">
        <f t="shared" si="30"/>
        <v>0</v>
      </c>
      <c r="K109" s="54"/>
      <c r="L109" s="115"/>
      <c r="M109" s="54">
        <f t="shared" si="51"/>
        <v>0</v>
      </c>
      <c r="N109" s="115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982422</v>
      </c>
      <c r="E110" s="354">
        <f t="shared" si="46"/>
        <v>36362</v>
      </c>
      <c r="F110" s="55">
        <f t="shared" si="47"/>
        <v>946060</v>
      </c>
      <c r="G110" s="55">
        <f t="shared" si="48"/>
        <v>964241</v>
      </c>
      <c r="H110" s="436">
        <f t="shared" si="49"/>
        <v>165877.60701515508</v>
      </c>
      <c r="I110" s="437">
        <f t="shared" si="50"/>
        <v>165877.60701515508</v>
      </c>
      <c r="J110" s="54">
        <f t="shared" si="30"/>
        <v>0</v>
      </c>
      <c r="K110" s="54"/>
      <c r="L110" s="115"/>
      <c r="M110" s="54">
        <f t="shared" si="51"/>
        <v>0</v>
      </c>
      <c r="N110" s="115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946060</v>
      </c>
      <c r="E111" s="354">
        <f t="shared" si="46"/>
        <v>36362</v>
      </c>
      <c r="F111" s="55">
        <f t="shared" si="47"/>
        <v>909698</v>
      </c>
      <c r="G111" s="55">
        <f t="shared" si="48"/>
        <v>927879</v>
      </c>
      <c r="H111" s="436">
        <f t="shared" si="49"/>
        <v>160993.51009095763</v>
      </c>
      <c r="I111" s="437">
        <f t="shared" si="50"/>
        <v>160993.51009095763</v>
      </c>
      <c r="J111" s="54">
        <f t="shared" si="30"/>
        <v>0</v>
      </c>
      <c r="K111" s="54"/>
      <c r="L111" s="115"/>
      <c r="M111" s="54">
        <f t="shared" si="51"/>
        <v>0</v>
      </c>
      <c r="N111" s="115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909698</v>
      </c>
      <c r="E112" s="354">
        <f t="shared" si="46"/>
        <v>36362</v>
      </c>
      <c r="F112" s="55">
        <f t="shared" si="47"/>
        <v>873336</v>
      </c>
      <c r="G112" s="55">
        <f t="shared" si="48"/>
        <v>891517</v>
      </c>
      <c r="H112" s="436">
        <f t="shared" si="49"/>
        <v>156109.41316676021</v>
      </c>
      <c r="I112" s="437">
        <f t="shared" si="50"/>
        <v>156109.41316676021</v>
      </c>
      <c r="J112" s="54">
        <f t="shared" si="30"/>
        <v>0</v>
      </c>
      <c r="K112" s="54"/>
      <c r="L112" s="115"/>
      <c r="M112" s="54">
        <f t="shared" si="51"/>
        <v>0</v>
      </c>
      <c r="N112" s="115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873336</v>
      </c>
      <c r="E113" s="354">
        <f t="shared" si="46"/>
        <v>36362</v>
      </c>
      <c r="F113" s="55">
        <f t="shared" si="47"/>
        <v>836974</v>
      </c>
      <c r="G113" s="55">
        <f t="shared" si="48"/>
        <v>855155</v>
      </c>
      <c r="H113" s="436">
        <f t="shared" si="49"/>
        <v>151225.31624256275</v>
      </c>
      <c r="I113" s="437">
        <f t="shared" si="50"/>
        <v>151225.31624256275</v>
      </c>
      <c r="J113" s="54">
        <f t="shared" si="30"/>
        <v>0</v>
      </c>
      <c r="K113" s="54"/>
      <c r="L113" s="115"/>
      <c r="M113" s="54">
        <f t="shared" si="51"/>
        <v>0</v>
      </c>
      <c r="N113" s="115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836974</v>
      </c>
      <c r="E114" s="354">
        <f t="shared" si="46"/>
        <v>36362</v>
      </c>
      <c r="F114" s="55">
        <f t="shared" si="47"/>
        <v>800612</v>
      </c>
      <c r="G114" s="55">
        <f t="shared" si="48"/>
        <v>818793</v>
      </c>
      <c r="H114" s="436">
        <f t="shared" si="49"/>
        <v>146341.2193183653</v>
      </c>
      <c r="I114" s="437">
        <f t="shared" si="50"/>
        <v>146341.2193183653</v>
      </c>
      <c r="J114" s="54">
        <f t="shared" si="30"/>
        <v>0</v>
      </c>
      <c r="K114" s="54"/>
      <c r="L114" s="115"/>
      <c r="M114" s="54">
        <f t="shared" si="51"/>
        <v>0</v>
      </c>
      <c r="N114" s="115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800612</v>
      </c>
      <c r="E115" s="354">
        <f t="shared" si="46"/>
        <v>36362</v>
      </c>
      <c r="F115" s="55">
        <f t="shared" si="47"/>
        <v>764250</v>
      </c>
      <c r="G115" s="55">
        <f t="shared" si="48"/>
        <v>782431</v>
      </c>
      <c r="H115" s="436">
        <f t="shared" si="49"/>
        <v>141457.12239416788</v>
      </c>
      <c r="I115" s="437">
        <f t="shared" si="50"/>
        <v>141457.12239416788</v>
      </c>
      <c r="J115" s="54">
        <f t="shared" si="30"/>
        <v>0</v>
      </c>
      <c r="K115" s="54"/>
      <c r="L115" s="115"/>
      <c r="M115" s="54">
        <f t="shared" si="51"/>
        <v>0</v>
      </c>
      <c r="N115" s="115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764250</v>
      </c>
      <c r="E116" s="354">
        <f t="shared" si="46"/>
        <v>36362</v>
      </c>
      <c r="F116" s="55">
        <f t="shared" si="47"/>
        <v>727888</v>
      </c>
      <c r="G116" s="55">
        <f t="shared" si="48"/>
        <v>746069</v>
      </c>
      <c r="H116" s="436">
        <f t="shared" si="49"/>
        <v>136573.02546997042</v>
      </c>
      <c r="I116" s="437">
        <f t="shared" si="50"/>
        <v>136573.02546997042</v>
      </c>
      <c r="J116" s="54">
        <f t="shared" si="30"/>
        <v>0</v>
      </c>
      <c r="K116" s="54"/>
      <c r="L116" s="115"/>
      <c r="M116" s="54">
        <f t="shared" si="51"/>
        <v>0</v>
      </c>
      <c r="N116" s="115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727888</v>
      </c>
      <c r="E117" s="354">
        <f t="shared" si="46"/>
        <v>36362</v>
      </c>
      <c r="F117" s="55">
        <f t="shared" si="47"/>
        <v>691526</v>
      </c>
      <c r="G117" s="55">
        <f t="shared" si="48"/>
        <v>709707</v>
      </c>
      <c r="H117" s="436">
        <f t="shared" si="49"/>
        <v>131688.92854577297</v>
      </c>
      <c r="I117" s="437">
        <f t="shared" si="50"/>
        <v>131688.92854577297</v>
      </c>
      <c r="J117" s="54">
        <f t="shared" si="30"/>
        <v>0</v>
      </c>
      <c r="K117" s="54"/>
      <c r="L117" s="115"/>
      <c r="M117" s="54">
        <f t="shared" si="51"/>
        <v>0</v>
      </c>
      <c r="N117" s="115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691526</v>
      </c>
      <c r="E118" s="354">
        <f t="shared" si="46"/>
        <v>36362</v>
      </c>
      <c r="F118" s="55">
        <f t="shared" si="47"/>
        <v>655164</v>
      </c>
      <c r="G118" s="55">
        <f t="shared" si="48"/>
        <v>673345</v>
      </c>
      <c r="H118" s="436">
        <f t="shared" si="49"/>
        <v>126804.83162157552</v>
      </c>
      <c r="I118" s="437">
        <f t="shared" si="50"/>
        <v>126804.83162157552</v>
      </c>
      <c r="J118" s="54">
        <f t="shared" si="30"/>
        <v>0</v>
      </c>
      <c r="K118" s="54"/>
      <c r="L118" s="115"/>
      <c r="M118" s="54">
        <f t="shared" si="51"/>
        <v>0</v>
      </c>
      <c r="N118" s="115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655164</v>
      </c>
      <c r="E119" s="354">
        <f t="shared" si="46"/>
        <v>36362</v>
      </c>
      <c r="F119" s="55">
        <f t="shared" si="47"/>
        <v>618802</v>
      </c>
      <c r="G119" s="55">
        <f t="shared" si="48"/>
        <v>636983</v>
      </c>
      <c r="H119" s="436">
        <f t="shared" si="49"/>
        <v>121920.73469737808</v>
      </c>
      <c r="I119" s="437">
        <f t="shared" si="50"/>
        <v>121920.73469737808</v>
      </c>
      <c r="J119" s="54">
        <f t="shared" si="30"/>
        <v>0</v>
      </c>
      <c r="K119" s="54"/>
      <c r="L119" s="115"/>
      <c r="M119" s="54">
        <f t="shared" si="51"/>
        <v>0</v>
      </c>
      <c r="N119" s="115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618802</v>
      </c>
      <c r="E120" s="354">
        <f t="shared" si="46"/>
        <v>36362</v>
      </c>
      <c r="F120" s="55">
        <f t="shared" si="47"/>
        <v>582440</v>
      </c>
      <c r="G120" s="55">
        <f t="shared" si="48"/>
        <v>600621</v>
      </c>
      <c r="H120" s="436">
        <f t="shared" si="49"/>
        <v>117036.63777318063</v>
      </c>
      <c r="I120" s="437">
        <f t="shared" si="50"/>
        <v>117036.63777318063</v>
      </c>
      <c r="J120" s="54">
        <f t="shared" si="30"/>
        <v>0</v>
      </c>
      <c r="K120" s="54"/>
      <c r="L120" s="115"/>
      <c r="M120" s="54">
        <f t="shared" si="51"/>
        <v>0</v>
      </c>
      <c r="N120" s="115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582440</v>
      </c>
      <c r="E121" s="354">
        <f t="shared" si="46"/>
        <v>36362</v>
      </c>
      <c r="F121" s="55">
        <f t="shared" si="47"/>
        <v>546078</v>
      </c>
      <c r="G121" s="55">
        <f t="shared" si="48"/>
        <v>564259</v>
      </c>
      <c r="H121" s="436">
        <f t="shared" si="49"/>
        <v>112152.54084898319</v>
      </c>
      <c r="I121" s="437">
        <f t="shared" si="50"/>
        <v>112152.54084898319</v>
      </c>
      <c r="J121" s="54">
        <f t="shared" si="30"/>
        <v>0</v>
      </c>
      <c r="K121" s="54"/>
      <c r="L121" s="115"/>
      <c r="M121" s="54">
        <f t="shared" si="51"/>
        <v>0</v>
      </c>
      <c r="N121" s="115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546078</v>
      </c>
      <c r="E122" s="354">
        <f t="shared" si="46"/>
        <v>36362</v>
      </c>
      <c r="F122" s="55">
        <f t="shared" si="47"/>
        <v>509716</v>
      </c>
      <c r="G122" s="55">
        <f t="shared" si="48"/>
        <v>527897</v>
      </c>
      <c r="H122" s="436">
        <f t="shared" si="49"/>
        <v>107268.44392478574</v>
      </c>
      <c r="I122" s="437">
        <f t="shared" si="50"/>
        <v>107268.44392478574</v>
      </c>
      <c r="J122" s="54">
        <f t="shared" si="30"/>
        <v>0</v>
      </c>
      <c r="K122" s="54"/>
      <c r="L122" s="115"/>
      <c r="M122" s="54">
        <f t="shared" si="51"/>
        <v>0</v>
      </c>
      <c r="N122" s="115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509716</v>
      </c>
      <c r="E123" s="354">
        <f t="shared" si="46"/>
        <v>36362</v>
      </c>
      <c r="F123" s="55">
        <f t="shared" si="47"/>
        <v>473354</v>
      </c>
      <c r="G123" s="55">
        <f t="shared" si="48"/>
        <v>491535</v>
      </c>
      <c r="H123" s="436">
        <f t="shared" si="49"/>
        <v>102384.3470005883</v>
      </c>
      <c r="I123" s="437">
        <f t="shared" si="50"/>
        <v>102384.3470005883</v>
      </c>
      <c r="J123" s="54">
        <f t="shared" si="30"/>
        <v>0</v>
      </c>
      <c r="K123" s="54"/>
      <c r="L123" s="115"/>
      <c r="M123" s="54">
        <f t="shared" si="51"/>
        <v>0</v>
      </c>
      <c r="N123" s="115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473354</v>
      </c>
      <c r="E124" s="354">
        <f t="shared" si="46"/>
        <v>36362</v>
      </c>
      <c r="F124" s="55">
        <f t="shared" si="47"/>
        <v>436992</v>
      </c>
      <c r="G124" s="55">
        <f t="shared" si="48"/>
        <v>455173</v>
      </c>
      <c r="H124" s="436">
        <f t="shared" si="49"/>
        <v>97500.250076390847</v>
      </c>
      <c r="I124" s="437">
        <f t="shared" si="50"/>
        <v>97500.250076390847</v>
      </c>
      <c r="J124" s="54">
        <f t="shared" si="30"/>
        <v>0</v>
      </c>
      <c r="K124" s="54"/>
      <c r="L124" s="115"/>
      <c r="M124" s="54">
        <f t="shared" si="51"/>
        <v>0</v>
      </c>
      <c r="N124" s="115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436992</v>
      </c>
      <c r="E125" s="354">
        <f t="shared" si="46"/>
        <v>36362</v>
      </c>
      <c r="F125" s="55">
        <f t="shared" si="47"/>
        <v>400630</v>
      </c>
      <c r="G125" s="55">
        <f t="shared" si="48"/>
        <v>418811</v>
      </c>
      <c r="H125" s="436">
        <f t="shared" si="49"/>
        <v>92616.153152193408</v>
      </c>
      <c r="I125" s="437">
        <f t="shared" si="50"/>
        <v>92616.153152193408</v>
      </c>
      <c r="J125" s="54">
        <f t="shared" si="30"/>
        <v>0</v>
      </c>
      <c r="K125" s="54"/>
      <c r="L125" s="115"/>
      <c r="M125" s="54">
        <f t="shared" si="51"/>
        <v>0</v>
      </c>
      <c r="N125" s="115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400630</v>
      </c>
      <c r="E126" s="354">
        <f t="shared" si="46"/>
        <v>36362</v>
      </c>
      <c r="F126" s="55">
        <f t="shared" si="47"/>
        <v>364268</v>
      </c>
      <c r="G126" s="55">
        <f t="shared" si="48"/>
        <v>382449</v>
      </c>
      <c r="H126" s="436">
        <f t="shared" si="49"/>
        <v>87732.056227995956</v>
      </c>
      <c r="I126" s="437">
        <f t="shared" si="50"/>
        <v>87732.056227995956</v>
      </c>
      <c r="J126" s="54">
        <f t="shared" si="30"/>
        <v>0</v>
      </c>
      <c r="K126" s="54"/>
      <c r="L126" s="115"/>
      <c r="M126" s="54">
        <f t="shared" si="51"/>
        <v>0</v>
      </c>
      <c r="N126" s="115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364268</v>
      </c>
      <c r="E127" s="354">
        <f t="shared" si="46"/>
        <v>36362</v>
      </c>
      <c r="F127" s="55">
        <f t="shared" si="47"/>
        <v>327906</v>
      </c>
      <c r="G127" s="55">
        <f t="shared" si="48"/>
        <v>346087</v>
      </c>
      <c r="H127" s="436">
        <f t="shared" si="49"/>
        <v>82847.959303798503</v>
      </c>
      <c r="I127" s="437">
        <f t="shared" si="50"/>
        <v>82847.959303798503</v>
      </c>
      <c r="J127" s="54">
        <f t="shared" si="30"/>
        <v>0</v>
      </c>
      <c r="K127" s="54"/>
      <c r="L127" s="115"/>
      <c r="M127" s="54">
        <f t="shared" si="51"/>
        <v>0</v>
      </c>
      <c r="N127" s="115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327906</v>
      </c>
      <c r="E128" s="354">
        <f t="shared" si="46"/>
        <v>36362</v>
      </c>
      <c r="F128" s="55">
        <f t="shared" si="47"/>
        <v>291544</v>
      </c>
      <c r="G128" s="55">
        <f t="shared" si="48"/>
        <v>309725</v>
      </c>
      <c r="H128" s="436">
        <f t="shared" si="49"/>
        <v>77963.862379601065</v>
      </c>
      <c r="I128" s="437">
        <f t="shared" si="50"/>
        <v>77963.862379601065</v>
      </c>
      <c r="J128" s="54">
        <f t="shared" si="30"/>
        <v>0</v>
      </c>
      <c r="K128" s="54"/>
      <c r="L128" s="115"/>
      <c r="M128" s="54">
        <f t="shared" si="51"/>
        <v>0</v>
      </c>
      <c r="N128" s="115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291544</v>
      </c>
      <c r="E129" s="354">
        <f t="shared" si="46"/>
        <v>36362</v>
      </c>
      <c r="F129" s="55">
        <f t="shared" si="47"/>
        <v>255182</v>
      </c>
      <c r="G129" s="55">
        <f t="shared" si="48"/>
        <v>273363</v>
      </c>
      <c r="H129" s="436">
        <f t="shared" si="49"/>
        <v>73079.765455403627</v>
      </c>
      <c r="I129" s="437">
        <f t="shared" si="50"/>
        <v>73079.765455403627</v>
      </c>
      <c r="J129" s="54">
        <f t="shared" si="30"/>
        <v>0</v>
      </c>
      <c r="K129" s="54"/>
      <c r="L129" s="115"/>
      <c r="M129" s="54">
        <f t="shared" si="51"/>
        <v>0</v>
      </c>
      <c r="N129" s="115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255182</v>
      </c>
      <c r="E130" s="354">
        <f t="shared" si="46"/>
        <v>36362</v>
      </c>
      <c r="F130" s="55">
        <f t="shared" si="47"/>
        <v>218820</v>
      </c>
      <c r="G130" s="55">
        <f t="shared" si="48"/>
        <v>237001</v>
      </c>
      <c r="H130" s="436">
        <f t="shared" si="49"/>
        <v>68195.668531206175</v>
      </c>
      <c r="I130" s="437">
        <f t="shared" si="50"/>
        <v>68195.668531206175</v>
      </c>
      <c r="J130" s="54">
        <f t="shared" si="30"/>
        <v>0</v>
      </c>
      <c r="K130" s="54"/>
      <c r="L130" s="115"/>
      <c r="M130" s="54">
        <f t="shared" si="51"/>
        <v>0</v>
      </c>
      <c r="N130" s="115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218820</v>
      </c>
      <c r="E131" s="354">
        <f t="shared" si="46"/>
        <v>36362</v>
      </c>
      <c r="F131" s="55">
        <f t="shared" si="47"/>
        <v>182458</v>
      </c>
      <c r="G131" s="55">
        <f t="shared" si="48"/>
        <v>200639</v>
      </c>
      <c r="H131" s="436">
        <f t="shared" si="49"/>
        <v>63311.571607008722</v>
      </c>
      <c r="I131" s="437">
        <f t="shared" si="50"/>
        <v>63311.571607008722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182458</v>
      </c>
      <c r="E132" s="354">
        <f t="shared" si="46"/>
        <v>36362</v>
      </c>
      <c r="F132" s="55">
        <f t="shared" si="47"/>
        <v>146096</v>
      </c>
      <c r="G132" s="55">
        <f t="shared" si="48"/>
        <v>164277</v>
      </c>
      <c r="H132" s="436">
        <f t="shared" si="49"/>
        <v>58427.474682811284</v>
      </c>
      <c r="I132" s="437">
        <f t="shared" si="50"/>
        <v>58427.474682811284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146096</v>
      </c>
      <c r="E133" s="354">
        <f t="shared" si="46"/>
        <v>36362</v>
      </c>
      <c r="F133" s="55">
        <f t="shared" si="47"/>
        <v>109734</v>
      </c>
      <c r="G133" s="55">
        <f t="shared" si="48"/>
        <v>127915</v>
      </c>
      <c r="H133" s="436">
        <f t="shared" si="49"/>
        <v>53543.377758613831</v>
      </c>
      <c r="I133" s="437">
        <f t="shared" si="50"/>
        <v>53543.377758613831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109734</v>
      </c>
      <c r="E134" s="354">
        <f t="shared" si="46"/>
        <v>36362</v>
      </c>
      <c r="F134" s="55">
        <f t="shared" si="47"/>
        <v>73372</v>
      </c>
      <c r="G134" s="55">
        <f t="shared" si="48"/>
        <v>91553</v>
      </c>
      <c r="H134" s="436">
        <f t="shared" si="49"/>
        <v>48659.280834416393</v>
      </c>
      <c r="I134" s="437">
        <f t="shared" si="50"/>
        <v>48659.280834416393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73372</v>
      </c>
      <c r="E135" s="354">
        <f t="shared" si="46"/>
        <v>36362</v>
      </c>
      <c r="F135" s="55">
        <f t="shared" si="47"/>
        <v>37010</v>
      </c>
      <c r="G135" s="55">
        <f t="shared" si="48"/>
        <v>55191</v>
      </c>
      <c r="H135" s="436">
        <f t="shared" si="49"/>
        <v>43775.183910218941</v>
      </c>
      <c r="I135" s="437">
        <f t="shared" si="50"/>
        <v>43775.183910218941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37010</v>
      </c>
      <c r="E136" s="354">
        <f t="shared" si="46"/>
        <v>36362</v>
      </c>
      <c r="F136" s="55">
        <f t="shared" si="47"/>
        <v>648</v>
      </c>
      <c r="G136" s="55">
        <f t="shared" si="48"/>
        <v>18829</v>
      </c>
      <c r="H136" s="436">
        <f t="shared" si="49"/>
        <v>38891.086986021495</v>
      </c>
      <c r="I136" s="437">
        <f t="shared" si="50"/>
        <v>38891.086986021495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648</v>
      </c>
      <c r="E137" s="354">
        <f t="shared" si="46"/>
        <v>648</v>
      </c>
      <c r="F137" s="55">
        <f t="shared" si="47"/>
        <v>0</v>
      </c>
      <c r="G137" s="55">
        <f t="shared" si="48"/>
        <v>324</v>
      </c>
      <c r="H137" s="436">
        <f t="shared" si="49"/>
        <v>691.51926196138754</v>
      </c>
      <c r="I137" s="437">
        <f t="shared" si="50"/>
        <v>691.51926196138754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6"/>
        <v>0</v>
      </c>
      <c r="F138" s="55">
        <f t="shared" si="47"/>
        <v>0</v>
      </c>
      <c r="G138" s="55">
        <f t="shared" si="48"/>
        <v>0</v>
      </c>
      <c r="H138" s="436">
        <f t="shared" si="49"/>
        <v>0</v>
      </c>
      <c r="I138" s="437">
        <f t="shared" si="50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6"/>
        <v>0</v>
      </c>
      <c r="F139" s="55">
        <f t="shared" si="47"/>
        <v>0</v>
      </c>
      <c r="G139" s="55">
        <f t="shared" si="48"/>
        <v>0</v>
      </c>
      <c r="H139" s="436">
        <f t="shared" si="49"/>
        <v>0</v>
      </c>
      <c r="I139" s="437">
        <f t="shared" si="50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6"/>
        <v>0</v>
      </c>
      <c r="F140" s="55">
        <f t="shared" si="47"/>
        <v>0</v>
      </c>
      <c r="G140" s="55">
        <f t="shared" si="48"/>
        <v>0</v>
      </c>
      <c r="H140" s="436">
        <f t="shared" si="49"/>
        <v>0</v>
      </c>
      <c r="I140" s="437">
        <f t="shared" si="50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6"/>
        <v>0</v>
      </c>
      <c r="F141" s="55">
        <f t="shared" si="47"/>
        <v>0</v>
      </c>
      <c r="G141" s="55">
        <f t="shared" si="48"/>
        <v>0</v>
      </c>
      <c r="H141" s="436">
        <f t="shared" si="49"/>
        <v>0</v>
      </c>
      <c r="I141" s="437">
        <f t="shared" si="50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6"/>
        <v>0</v>
      </c>
      <c r="F142" s="55">
        <f t="shared" si="47"/>
        <v>0</v>
      </c>
      <c r="G142" s="55">
        <f t="shared" si="48"/>
        <v>0</v>
      </c>
      <c r="H142" s="436">
        <f t="shared" si="49"/>
        <v>0</v>
      </c>
      <c r="I142" s="437">
        <f t="shared" si="50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6"/>
        <v>0</v>
      </c>
      <c r="F143" s="55">
        <f t="shared" si="47"/>
        <v>0</v>
      </c>
      <c r="G143" s="55">
        <f t="shared" si="48"/>
        <v>0</v>
      </c>
      <c r="H143" s="436">
        <f t="shared" si="49"/>
        <v>0</v>
      </c>
      <c r="I143" s="437">
        <f t="shared" si="50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6"/>
        <v>0</v>
      </c>
      <c r="F144" s="55">
        <f t="shared" si="47"/>
        <v>0</v>
      </c>
      <c r="G144" s="55">
        <f t="shared" si="48"/>
        <v>0</v>
      </c>
      <c r="H144" s="436">
        <f t="shared" si="49"/>
        <v>0</v>
      </c>
      <c r="I144" s="437">
        <f t="shared" si="50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6"/>
        <v>0</v>
      </c>
      <c r="F145" s="55">
        <f t="shared" si="47"/>
        <v>0</v>
      </c>
      <c r="G145" s="55">
        <f t="shared" si="48"/>
        <v>0</v>
      </c>
      <c r="H145" s="436">
        <f t="shared" si="49"/>
        <v>0</v>
      </c>
      <c r="I145" s="437">
        <f t="shared" si="50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6"/>
        <v>0</v>
      </c>
      <c r="F146" s="55">
        <f t="shared" si="47"/>
        <v>0</v>
      </c>
      <c r="G146" s="55">
        <f t="shared" si="48"/>
        <v>0</v>
      </c>
      <c r="H146" s="436">
        <f t="shared" si="49"/>
        <v>0</v>
      </c>
      <c r="I146" s="437">
        <f t="shared" si="50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6"/>
        <v>0</v>
      </c>
      <c r="F147" s="55">
        <f t="shared" si="47"/>
        <v>0</v>
      </c>
      <c r="G147" s="55">
        <f t="shared" si="48"/>
        <v>0</v>
      </c>
      <c r="H147" s="436">
        <f t="shared" si="49"/>
        <v>0</v>
      </c>
      <c r="I147" s="437">
        <f t="shared" si="50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6"/>
        <v>0</v>
      </c>
      <c r="F148" s="55">
        <f t="shared" si="47"/>
        <v>0</v>
      </c>
      <c r="G148" s="55">
        <f t="shared" si="48"/>
        <v>0</v>
      </c>
      <c r="H148" s="436">
        <f t="shared" si="49"/>
        <v>0</v>
      </c>
      <c r="I148" s="437">
        <f t="shared" si="50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6"/>
        <v>0</v>
      </c>
      <c r="F149" s="55">
        <f t="shared" si="47"/>
        <v>0</v>
      </c>
      <c r="G149" s="55">
        <f t="shared" si="48"/>
        <v>0</v>
      </c>
      <c r="H149" s="436">
        <f t="shared" si="49"/>
        <v>0</v>
      </c>
      <c r="I149" s="437">
        <f t="shared" si="50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6"/>
        <v>0</v>
      </c>
      <c r="F150" s="55">
        <f t="shared" si="47"/>
        <v>0</v>
      </c>
      <c r="G150" s="55">
        <f t="shared" si="48"/>
        <v>0</v>
      </c>
      <c r="H150" s="436">
        <f t="shared" si="49"/>
        <v>0</v>
      </c>
      <c r="I150" s="437">
        <f t="shared" si="50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6"/>
        <v>0</v>
      </c>
      <c r="F151" s="55">
        <f t="shared" si="47"/>
        <v>0</v>
      </c>
      <c r="G151" s="55">
        <f t="shared" si="48"/>
        <v>0</v>
      </c>
      <c r="H151" s="436">
        <f t="shared" si="49"/>
        <v>0</v>
      </c>
      <c r="I151" s="437">
        <f t="shared" si="50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6"/>
        <v>0</v>
      </c>
      <c r="F152" s="55">
        <f t="shared" si="47"/>
        <v>0</v>
      </c>
      <c r="G152" s="55">
        <f t="shared" si="48"/>
        <v>0</v>
      </c>
      <c r="H152" s="436">
        <f t="shared" si="49"/>
        <v>0</v>
      </c>
      <c r="I152" s="437">
        <f t="shared" si="50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6"/>
        <v>0</v>
      </c>
      <c r="F153" s="55">
        <f t="shared" si="47"/>
        <v>0</v>
      </c>
      <c r="G153" s="55">
        <f t="shared" si="48"/>
        <v>0</v>
      </c>
      <c r="H153" s="436">
        <f t="shared" si="49"/>
        <v>0</v>
      </c>
      <c r="I153" s="437">
        <f t="shared" si="50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3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6"/>
        <v>0</v>
      </c>
      <c r="F154" s="59">
        <f t="shared" si="47"/>
        <v>0</v>
      </c>
      <c r="G154" s="59">
        <f t="shared" si="48"/>
        <v>0</v>
      </c>
      <c r="H154" s="438">
        <f t="shared" si="49"/>
        <v>0</v>
      </c>
      <c r="I154" s="439">
        <f t="shared" si="50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1345383</v>
      </c>
      <c r="F155" s="267"/>
      <c r="G155" s="267"/>
      <c r="H155" s="267">
        <f>SUM(H99:H154)</f>
        <v>4609739.0869051153</v>
      </c>
      <c r="I155" s="267">
        <f>SUM(I99:I154)</f>
        <v>4609739.0869051153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162"/>
  <sheetViews>
    <sheetView topLeftCell="A53" zoomScale="85" zoomScaleNormal="8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25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33249.521779538532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33249.521779538532</v>
      </c>
      <c r="O6" s="1"/>
      <c r="P6" s="1"/>
    </row>
    <row r="7" spans="1:16" ht="13.5" thickBot="1">
      <c r="C7" s="26" t="s">
        <v>46</v>
      </c>
      <c r="D7" s="88" t="s">
        <v>320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321</v>
      </c>
      <c r="E9" s="442" t="s">
        <v>342</v>
      </c>
      <c r="F9" s="32"/>
      <c r="G9" s="452" t="s">
        <v>411</v>
      </c>
      <c r="H9" s="32"/>
      <c r="I9" s="33"/>
      <c r="J9" s="34"/>
      <c r="P9" s="1"/>
    </row>
    <row r="10" spans="1:16" ht="13">
      <c r="C10" s="128" t="s">
        <v>226</v>
      </c>
      <c r="D10" s="336">
        <v>288859.60000000003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7601.5684210526324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3">
        <v>11600</v>
      </c>
      <c r="F17" s="411">
        <v>1032400</v>
      </c>
      <c r="G17" s="433">
        <v>81460.13871045578</v>
      </c>
      <c r="H17" s="414">
        <v>81460.13871045578</v>
      </c>
      <c r="I17" s="52">
        <f>H17-G17</f>
        <v>0</v>
      </c>
      <c r="J17" s="52"/>
      <c r="K17" s="117">
        <f t="shared" ref="K17:K22" si="0">+G17</f>
        <v>81460.13871045578</v>
      </c>
      <c r="L17" s="53">
        <f t="shared" ref="L17:L72" si="1">IF(K17&lt;&gt;0,+G17-K17,0)</f>
        <v>0</v>
      </c>
      <c r="M17" s="117">
        <f t="shared" ref="M17:M22" si="2">+H17</f>
        <v>81460.13871045578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2019</v>
      </c>
      <c r="D18" s="411">
        <v>0</v>
      </c>
      <c r="E18" s="412">
        <v>11600</v>
      </c>
      <c r="F18" s="411">
        <v>1032400</v>
      </c>
      <c r="G18" s="412">
        <v>73419.565193351213</v>
      </c>
      <c r="H18" s="414">
        <v>73419.565193351213</v>
      </c>
      <c r="I18" s="52">
        <f>H18-G18</f>
        <v>0</v>
      </c>
      <c r="J18" s="52"/>
      <c r="K18" s="54">
        <f t="shared" si="0"/>
        <v>73419.565193351213</v>
      </c>
      <c r="L18" s="54">
        <f t="shared" si="1"/>
        <v>0</v>
      </c>
      <c r="M18" s="54">
        <f t="shared" si="2"/>
        <v>73419.565193351213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267280</v>
      </c>
      <c r="E19" s="412">
        <v>7192.3809523809523</v>
      </c>
      <c r="F19" s="411">
        <v>260087.61904761905</v>
      </c>
      <c r="G19" s="412">
        <v>35671.491974766584</v>
      </c>
      <c r="H19" s="414">
        <v>35671.491974766584</v>
      </c>
      <c r="I19" s="52">
        <f t="shared" ref="I19:I71" si="5">H19-G19</f>
        <v>0</v>
      </c>
      <c r="J19" s="52"/>
      <c r="K19" s="54">
        <f t="shared" si="0"/>
        <v>35671.491974766584</v>
      </c>
      <c r="L19" s="54">
        <f t="shared" ref="L19" si="6">IF(K19&lt;&gt;0,+G19-K19,0)</f>
        <v>0</v>
      </c>
      <c r="M19" s="54">
        <f t="shared" si="2"/>
        <v>35671.491974766584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258467.61904761905</v>
      </c>
      <c r="E20" s="412">
        <v>6717.6744186046508</v>
      </c>
      <c r="F20" s="411">
        <v>251749.94462901441</v>
      </c>
      <c r="G20" s="412">
        <v>34223.924690152948</v>
      </c>
      <c r="H20" s="414">
        <v>34223.924690152948</v>
      </c>
      <c r="I20" s="52">
        <f t="shared" si="5"/>
        <v>0</v>
      </c>
      <c r="J20" s="52"/>
      <c r="K20" s="54">
        <f t="shared" si="0"/>
        <v>34223.924690152948</v>
      </c>
      <c r="L20" s="54">
        <f t="shared" ref="L20" si="8">IF(K20&lt;&gt;0,+G20-K20,0)</f>
        <v>0</v>
      </c>
      <c r="M20" s="54">
        <f t="shared" si="2"/>
        <v>34223.924690152948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251749.94462901441</v>
      </c>
      <c r="E21" s="412">
        <v>6877.6190476190477</v>
      </c>
      <c r="F21" s="411">
        <v>244872.32558139536</v>
      </c>
      <c r="G21" s="412">
        <v>33648.35187112401</v>
      </c>
      <c r="H21" s="414">
        <v>33648.35187112401</v>
      </c>
      <c r="I21" s="52">
        <f t="shared" si="5"/>
        <v>0</v>
      </c>
      <c r="J21" s="52"/>
      <c r="K21" s="54">
        <f t="shared" si="0"/>
        <v>33648.35187112401</v>
      </c>
      <c r="L21" s="54">
        <f t="shared" ref="L21" si="9">IF(K21&lt;&gt;0,+G21-K21,0)</f>
        <v>0</v>
      </c>
      <c r="M21" s="54">
        <f t="shared" si="2"/>
        <v>33648.35187112401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244871.92558139539</v>
      </c>
      <c r="E22" s="412">
        <v>7406.6564102564107</v>
      </c>
      <c r="F22" s="411">
        <v>237465.26917113899</v>
      </c>
      <c r="G22" s="412">
        <v>36192.287124459006</v>
      </c>
      <c r="H22" s="414">
        <v>36192.287124459006</v>
      </c>
      <c r="I22" s="52">
        <f t="shared" si="5"/>
        <v>0</v>
      </c>
      <c r="J22" s="52"/>
      <c r="K22" s="54">
        <f t="shared" si="0"/>
        <v>36192.287124459006</v>
      </c>
      <c r="L22" s="54">
        <f t="shared" ref="L22" si="10">IF(K22&lt;&gt;0,+G22-K22,0)</f>
        <v>0</v>
      </c>
      <c r="M22" s="54">
        <f t="shared" si="2"/>
        <v>36192.287124459006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50">
        <f>IF(D11="","-",+C22+1)</f>
        <v>2024</v>
      </c>
      <c r="D23" s="411">
        <v>237465.26917113899</v>
      </c>
      <c r="E23" s="412">
        <v>7601.5684210526324</v>
      </c>
      <c r="F23" s="411">
        <v>229863.70075008637</v>
      </c>
      <c r="G23" s="412">
        <v>34178.610771160769</v>
      </c>
      <c r="H23" s="414">
        <v>34178.610771160769</v>
      </c>
      <c r="I23" s="52">
        <f t="shared" si="5"/>
        <v>0</v>
      </c>
      <c r="J23" s="52"/>
      <c r="K23" s="54">
        <f t="shared" ref="K23" si="13">+G23</f>
        <v>34178.610771160769</v>
      </c>
      <c r="L23" s="54">
        <f t="shared" ref="L23" si="14">IF(K23&lt;&gt;0,+G23-K23,0)</f>
        <v>0</v>
      </c>
      <c r="M23" s="54">
        <f t="shared" ref="M23" si="15">+H23</f>
        <v>34178.610771160769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49">
        <f>IF(D11="","-",+C23+1)</f>
        <v>2025</v>
      </c>
      <c r="D24" s="411">
        <v>229863.70075008637</v>
      </c>
      <c r="E24" s="412">
        <v>7601.5684210526324</v>
      </c>
      <c r="F24" s="411">
        <v>222262.13232903375</v>
      </c>
      <c r="G24" s="412">
        <v>33283.783835135204</v>
      </c>
      <c r="H24" s="414">
        <v>33283.783835135204</v>
      </c>
      <c r="I24" s="52">
        <f t="shared" si="5"/>
        <v>0</v>
      </c>
      <c r="J24" s="52"/>
      <c r="K24" s="54">
        <f t="shared" ref="K24" si="18">+G24</f>
        <v>33283.783835135204</v>
      </c>
      <c r="L24" s="54">
        <f t="shared" ref="L24" si="19">IF(K24&lt;&gt;0,+G24-K24,0)</f>
        <v>0</v>
      </c>
      <c r="M24" s="54">
        <f t="shared" ref="M24" si="20">+H24</f>
        <v>33283.783835135204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222262.13232903375</v>
      </c>
      <c r="E25" s="354">
        <f t="shared" ref="E25:E71" si="23">IF(+I$14&lt;F24,I$14,D25)</f>
        <v>7601.5684210526324</v>
      </c>
      <c r="F25" s="55">
        <f t="shared" ref="F25:F71" si="24">+D25-E25</f>
        <v>214660.56390798112</v>
      </c>
      <c r="G25" s="355">
        <f t="shared" ref="G25:G71" si="25">(D25+F25)/2*I$12+E25</f>
        <v>33249.521779538532</v>
      </c>
      <c r="H25" s="337">
        <f t="shared" ref="H25:H71" si="26">+(D25+F25)/2*I$13+E25</f>
        <v>33249.521779538532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214660.56390798112</v>
      </c>
      <c r="E26" s="354">
        <f t="shared" si="23"/>
        <v>7601.5684210526324</v>
      </c>
      <c r="F26" s="55">
        <f t="shared" si="24"/>
        <v>207058.9954869285</v>
      </c>
      <c r="G26" s="355">
        <f t="shared" si="25"/>
        <v>32357.077079395356</v>
      </c>
      <c r="H26" s="337">
        <f t="shared" si="26"/>
        <v>32357.077079395356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207058.9954869285</v>
      </c>
      <c r="E27" s="354">
        <f t="shared" si="23"/>
        <v>7601.5684210526324</v>
      </c>
      <c r="F27" s="55">
        <f t="shared" si="24"/>
        <v>199457.42706587588</v>
      </c>
      <c r="G27" s="355">
        <f t="shared" si="25"/>
        <v>31464.632379252165</v>
      </c>
      <c r="H27" s="337">
        <f t="shared" si="26"/>
        <v>31464.632379252165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199457.42706587588</v>
      </c>
      <c r="E28" s="354">
        <f t="shared" si="23"/>
        <v>7601.5684210526324</v>
      </c>
      <c r="F28" s="55">
        <f t="shared" si="24"/>
        <v>191855.85864482325</v>
      </c>
      <c r="G28" s="355">
        <f t="shared" si="25"/>
        <v>30572.187679108989</v>
      </c>
      <c r="H28" s="337">
        <f t="shared" si="26"/>
        <v>30572.187679108989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191855.85864482325</v>
      </c>
      <c r="E29" s="354">
        <f t="shared" si="23"/>
        <v>7601.5684210526324</v>
      </c>
      <c r="F29" s="55">
        <f t="shared" si="24"/>
        <v>184254.29022377063</v>
      </c>
      <c r="G29" s="355">
        <f t="shared" si="25"/>
        <v>29679.742978965798</v>
      </c>
      <c r="H29" s="337">
        <f t="shared" si="26"/>
        <v>29679.742978965798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184254.29022377063</v>
      </c>
      <c r="E30" s="354">
        <f t="shared" si="23"/>
        <v>7601.5684210526324</v>
      </c>
      <c r="F30" s="55">
        <f t="shared" si="24"/>
        <v>176652.72180271801</v>
      </c>
      <c r="G30" s="355">
        <f t="shared" si="25"/>
        <v>28787.298278822622</v>
      </c>
      <c r="H30" s="337">
        <f t="shared" si="26"/>
        <v>28787.298278822622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176652.72180271801</v>
      </c>
      <c r="E31" s="354">
        <f t="shared" si="23"/>
        <v>7601.5684210526324</v>
      </c>
      <c r="F31" s="55">
        <f t="shared" si="24"/>
        <v>169051.15338166538</v>
      </c>
      <c r="G31" s="355">
        <f t="shared" si="25"/>
        <v>27894.853578679431</v>
      </c>
      <c r="H31" s="337">
        <f t="shared" si="26"/>
        <v>27894.853578679431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169051.15338166538</v>
      </c>
      <c r="E32" s="354">
        <f t="shared" si="23"/>
        <v>7601.5684210526324</v>
      </c>
      <c r="F32" s="55">
        <f t="shared" si="24"/>
        <v>161449.58496061276</v>
      </c>
      <c r="G32" s="355">
        <f t="shared" si="25"/>
        <v>27002.408878536255</v>
      </c>
      <c r="H32" s="337">
        <f t="shared" si="26"/>
        <v>27002.408878536255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161449.58496061276</v>
      </c>
      <c r="E33" s="354">
        <f t="shared" si="23"/>
        <v>7601.5684210526324</v>
      </c>
      <c r="F33" s="55">
        <f t="shared" si="24"/>
        <v>153848.01653956014</v>
      </c>
      <c r="G33" s="355">
        <f t="shared" si="25"/>
        <v>26109.964178393064</v>
      </c>
      <c r="H33" s="337">
        <f t="shared" si="26"/>
        <v>26109.964178393064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153848.01653956014</v>
      </c>
      <c r="E34" s="354">
        <f t="shared" si="23"/>
        <v>7601.5684210526324</v>
      </c>
      <c r="F34" s="55">
        <f t="shared" si="24"/>
        <v>146246.44811850751</v>
      </c>
      <c r="G34" s="355">
        <f t="shared" si="25"/>
        <v>25217.519478249887</v>
      </c>
      <c r="H34" s="337">
        <f t="shared" si="26"/>
        <v>25217.519478249887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146246.44811850751</v>
      </c>
      <c r="E35" s="354">
        <f t="shared" si="23"/>
        <v>7601.5684210526324</v>
      </c>
      <c r="F35" s="55">
        <f t="shared" si="24"/>
        <v>138644.87969745489</v>
      </c>
      <c r="G35" s="355">
        <f t="shared" si="25"/>
        <v>24325.074778106697</v>
      </c>
      <c r="H35" s="337">
        <f t="shared" si="26"/>
        <v>24325.074778106697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138644.87969745489</v>
      </c>
      <c r="E36" s="354">
        <f t="shared" si="23"/>
        <v>7601.5684210526324</v>
      </c>
      <c r="F36" s="55">
        <f t="shared" si="24"/>
        <v>131043.31127640225</v>
      </c>
      <c r="G36" s="355">
        <f t="shared" si="25"/>
        <v>23432.630077963513</v>
      </c>
      <c r="H36" s="337">
        <f t="shared" si="26"/>
        <v>23432.630077963513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131043.31127640225</v>
      </c>
      <c r="E37" s="354">
        <f t="shared" si="23"/>
        <v>7601.5684210526324</v>
      </c>
      <c r="F37" s="55">
        <f t="shared" si="24"/>
        <v>123441.74285534961</v>
      </c>
      <c r="G37" s="355">
        <f t="shared" si="25"/>
        <v>22540.185377820329</v>
      </c>
      <c r="H37" s="337">
        <f t="shared" si="26"/>
        <v>22540.185377820329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123441.74285534961</v>
      </c>
      <c r="E38" s="354">
        <f t="shared" si="23"/>
        <v>7601.5684210526324</v>
      </c>
      <c r="F38" s="55">
        <f t="shared" si="24"/>
        <v>115840.17443429698</v>
      </c>
      <c r="G38" s="355">
        <f t="shared" si="25"/>
        <v>21647.740677677146</v>
      </c>
      <c r="H38" s="337">
        <f t="shared" si="26"/>
        <v>21647.740677677146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115840.17443429698</v>
      </c>
      <c r="E39" s="354">
        <f t="shared" si="23"/>
        <v>7601.5684210526324</v>
      </c>
      <c r="F39" s="55">
        <f t="shared" si="24"/>
        <v>108238.60601324434</v>
      </c>
      <c r="G39" s="355">
        <f t="shared" si="25"/>
        <v>20755.295977533962</v>
      </c>
      <c r="H39" s="337">
        <f t="shared" si="26"/>
        <v>20755.295977533962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108238.60601324434</v>
      </c>
      <c r="E40" s="354">
        <f t="shared" si="23"/>
        <v>7601.5684210526324</v>
      </c>
      <c r="F40" s="55">
        <f t="shared" si="24"/>
        <v>100637.0375921917</v>
      </c>
      <c r="G40" s="355">
        <f t="shared" si="25"/>
        <v>19862.851277390771</v>
      </c>
      <c r="H40" s="337">
        <f t="shared" si="26"/>
        <v>19862.851277390771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100637.0375921917</v>
      </c>
      <c r="E41" s="354">
        <f t="shared" si="23"/>
        <v>7601.5684210526324</v>
      </c>
      <c r="F41" s="55">
        <f t="shared" si="24"/>
        <v>93035.469171139062</v>
      </c>
      <c r="G41" s="355">
        <f t="shared" si="25"/>
        <v>18970.406577247588</v>
      </c>
      <c r="H41" s="337">
        <f t="shared" si="26"/>
        <v>18970.406577247588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93035.469171139062</v>
      </c>
      <c r="E42" s="354">
        <f t="shared" si="23"/>
        <v>7601.5684210526324</v>
      </c>
      <c r="F42" s="55">
        <f t="shared" si="24"/>
        <v>85433.900750086425</v>
      </c>
      <c r="G42" s="355">
        <f t="shared" si="25"/>
        <v>18077.961877104404</v>
      </c>
      <c r="H42" s="337">
        <f t="shared" si="26"/>
        <v>18077.961877104404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85433.900750086425</v>
      </c>
      <c r="E43" s="354">
        <f t="shared" si="23"/>
        <v>7601.5684210526324</v>
      </c>
      <c r="F43" s="55">
        <f t="shared" si="24"/>
        <v>77832.332329033787</v>
      </c>
      <c r="G43" s="355">
        <f t="shared" si="25"/>
        <v>17185.517176961221</v>
      </c>
      <c r="H43" s="337">
        <f t="shared" si="26"/>
        <v>17185.517176961221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77832.332329033787</v>
      </c>
      <c r="E44" s="354">
        <f t="shared" si="23"/>
        <v>7601.5684210526324</v>
      </c>
      <c r="F44" s="55">
        <f t="shared" si="24"/>
        <v>70230.763907981149</v>
      </c>
      <c r="G44" s="355">
        <f t="shared" si="25"/>
        <v>16293.072476818032</v>
      </c>
      <c r="H44" s="337">
        <f t="shared" si="26"/>
        <v>16293.072476818032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70230.763907981149</v>
      </c>
      <c r="E45" s="354">
        <f t="shared" si="23"/>
        <v>7601.5684210526324</v>
      </c>
      <c r="F45" s="55">
        <f t="shared" si="24"/>
        <v>62629.195486928518</v>
      </c>
      <c r="G45" s="355">
        <f t="shared" si="25"/>
        <v>15400.627776674848</v>
      </c>
      <c r="H45" s="337">
        <f t="shared" si="26"/>
        <v>15400.627776674848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62629.195486928518</v>
      </c>
      <c r="E46" s="354">
        <f t="shared" si="23"/>
        <v>7601.5684210526324</v>
      </c>
      <c r="F46" s="55">
        <f t="shared" si="24"/>
        <v>55027.627065875888</v>
      </c>
      <c r="G46" s="355">
        <f t="shared" si="25"/>
        <v>14508.183076531663</v>
      </c>
      <c r="H46" s="337">
        <f t="shared" si="26"/>
        <v>14508.183076531663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55027.627065875888</v>
      </c>
      <c r="E47" s="354">
        <f t="shared" si="23"/>
        <v>7601.5684210526324</v>
      </c>
      <c r="F47" s="55">
        <f t="shared" si="24"/>
        <v>47426.058644823257</v>
      </c>
      <c r="G47" s="355">
        <f t="shared" si="25"/>
        <v>13615.738376388479</v>
      </c>
      <c r="H47" s="337">
        <f t="shared" si="26"/>
        <v>13615.738376388479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47426.058644823257</v>
      </c>
      <c r="E48" s="354">
        <f t="shared" si="23"/>
        <v>7601.5684210526324</v>
      </c>
      <c r="F48" s="55">
        <f t="shared" si="24"/>
        <v>39824.490223770626</v>
      </c>
      <c r="G48" s="355">
        <f t="shared" si="25"/>
        <v>12723.293676245294</v>
      </c>
      <c r="H48" s="337">
        <f t="shared" si="26"/>
        <v>12723.293676245294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22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39824.490223770626</v>
      </c>
      <c r="E49" s="354">
        <f t="shared" si="23"/>
        <v>7601.5684210526324</v>
      </c>
      <c r="F49" s="55">
        <f t="shared" si="24"/>
        <v>32222.921802717996</v>
      </c>
      <c r="G49" s="355">
        <f t="shared" si="25"/>
        <v>11830.84897610211</v>
      </c>
      <c r="H49" s="337">
        <f t="shared" si="26"/>
        <v>11830.84897610211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22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32222.921802717996</v>
      </c>
      <c r="E50" s="354">
        <f t="shared" si="23"/>
        <v>7601.5684210526324</v>
      </c>
      <c r="F50" s="55">
        <f t="shared" si="24"/>
        <v>24621.353381665365</v>
      </c>
      <c r="G50" s="355">
        <f t="shared" si="25"/>
        <v>10938.404275958925</v>
      </c>
      <c r="H50" s="337">
        <f t="shared" si="26"/>
        <v>10938.404275958925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22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24621.353381665365</v>
      </c>
      <c r="E51" s="354">
        <f t="shared" si="23"/>
        <v>7601.5684210526324</v>
      </c>
      <c r="F51" s="55">
        <f t="shared" si="24"/>
        <v>17019.784960612735</v>
      </c>
      <c r="G51" s="355">
        <f t="shared" si="25"/>
        <v>10045.959575815741</v>
      </c>
      <c r="H51" s="337">
        <f t="shared" si="26"/>
        <v>10045.959575815741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17019.784960612735</v>
      </c>
      <c r="E52" s="354">
        <f t="shared" si="23"/>
        <v>7601.5684210526324</v>
      </c>
      <c r="F52" s="55">
        <f t="shared" si="24"/>
        <v>9418.2165395601023</v>
      </c>
      <c r="G52" s="355">
        <f t="shared" si="25"/>
        <v>9153.5148756725575</v>
      </c>
      <c r="H52" s="337">
        <f t="shared" si="26"/>
        <v>9153.5148756725575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22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9418.2165395601023</v>
      </c>
      <c r="E53" s="354">
        <f t="shared" si="23"/>
        <v>7601.5684210526324</v>
      </c>
      <c r="F53" s="55">
        <f t="shared" si="24"/>
        <v>1816.6481185074699</v>
      </c>
      <c r="G53" s="355">
        <f t="shared" si="25"/>
        <v>8261.0701755293721</v>
      </c>
      <c r="H53" s="337">
        <f t="shared" si="26"/>
        <v>8261.0701755293721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22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1816.6481185074699</v>
      </c>
      <c r="E54" s="354">
        <f t="shared" si="23"/>
        <v>1816.6481185074699</v>
      </c>
      <c r="F54" s="55">
        <f t="shared" si="24"/>
        <v>0</v>
      </c>
      <c r="G54" s="355">
        <f t="shared" si="25"/>
        <v>1923.2878207100434</v>
      </c>
      <c r="H54" s="337">
        <f t="shared" si="26"/>
        <v>1923.2878207100434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22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23"/>
        <v>0</v>
      </c>
      <c r="F55" s="55">
        <f t="shared" si="24"/>
        <v>0</v>
      </c>
      <c r="G55" s="355">
        <f t="shared" si="25"/>
        <v>0</v>
      </c>
      <c r="H55" s="337">
        <f t="shared" si="26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22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3"/>
        <v>0</v>
      </c>
      <c r="F56" s="55">
        <f t="shared" si="24"/>
        <v>0</v>
      </c>
      <c r="G56" s="355">
        <f t="shared" si="25"/>
        <v>0</v>
      </c>
      <c r="H56" s="337">
        <f t="shared" si="26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22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7">
        <f t="shared" si="26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22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7">
        <f t="shared" si="26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22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7">
        <f t="shared" si="26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22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7">
        <f t="shared" si="26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22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7">
        <f t="shared" si="26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22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7">
        <f t="shared" si="26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22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7">
        <f t="shared" si="26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22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7">
        <f t="shared" si="26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7">
        <f t="shared" si="26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7">
        <f t="shared" si="26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7">
        <f t="shared" si="26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7">
        <f t="shared" si="26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7">
        <f t="shared" si="26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7">
        <f t="shared" si="26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7">
        <f t="shared" si="26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288859.60000000009</v>
      </c>
      <c r="F73" s="267"/>
      <c r="G73" s="267">
        <f>SUM(G17:G72)</f>
        <v>965905.02533979958</v>
      </c>
      <c r="H73" s="267">
        <f>SUM(H17:H72)</f>
        <v>965905.02533979958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25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34178.610771160769</v>
      </c>
      <c r="N87" s="364">
        <f>IF(J92&lt;D11,0,VLOOKUP(J92,C17:O72,11))</f>
        <v>34178.610771160769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40581.823513436779</v>
      </c>
      <c r="N88" s="367">
        <f>IF(J92&lt;D11,0,VLOOKUP(J92,C99:P154,7))</f>
        <v>40581.823513436779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Fort Towson-Valliant Line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6403.2127422760095</v>
      </c>
      <c r="N89" s="369">
        <f>+N88-N87</f>
        <v>6403.2127422760095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TP2015204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288860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7807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2018</v>
      </c>
      <c r="D99" s="411">
        <v>0</v>
      </c>
      <c r="E99" s="433">
        <v>3512.5</v>
      </c>
      <c r="F99" s="411">
        <v>298567.5</v>
      </c>
      <c r="G99" s="433">
        <v>149283.75</v>
      </c>
      <c r="H99" s="414">
        <v>18849.250674297917</v>
      </c>
      <c r="I99" s="432">
        <v>18849.250674297917</v>
      </c>
      <c r="J99" s="54">
        <f>+I99-H99</f>
        <v>0</v>
      </c>
      <c r="K99" s="54"/>
      <c r="L99" s="53">
        <f>+H99</f>
        <v>18849.250674297917</v>
      </c>
      <c r="M99" s="53">
        <f t="shared" ref="M99" si="27">IF(L99&lt;&gt;0,+H99-L99,0)</f>
        <v>0</v>
      </c>
      <c r="N99" s="53">
        <f>+I99</f>
        <v>18849.250674297917</v>
      </c>
      <c r="O99" s="53">
        <f t="shared" ref="O99" si="28">IF(N99&lt;&gt;0,+I99-N99,0)</f>
        <v>0</v>
      </c>
      <c r="P99" s="53">
        <f t="shared" ref="P99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05">
        <v>285347.5</v>
      </c>
      <c r="E100" s="406">
        <v>7045</v>
      </c>
      <c r="F100" s="405">
        <v>278302.5</v>
      </c>
      <c r="G100" s="406">
        <v>281825</v>
      </c>
      <c r="H100" s="428">
        <v>36105.110400173638</v>
      </c>
      <c r="I100" s="405">
        <v>36105.110400173638</v>
      </c>
      <c r="J100" s="54">
        <f t="shared" ref="J100:J130" si="30">+I100-H100</f>
        <v>0</v>
      </c>
      <c r="K100" s="54"/>
      <c r="L100" s="324">
        <f>H100</f>
        <v>36105.110400173638</v>
      </c>
      <c r="M100" s="63">
        <f>IF(L100&lt;&gt;0,+H100-L100,0)</f>
        <v>0</v>
      </c>
      <c r="N100" s="324">
        <f>I100</f>
        <v>36105.110400173638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 ht="12.5">
      <c r="B101" s="7" t="str">
        <f t="shared" ref="B101:B154" si="33">IF(D101=F100,"","IU")</f>
        <v/>
      </c>
      <c r="C101" s="50">
        <f>IF(D93="","-",+C100+1)</f>
        <v>2020</v>
      </c>
      <c r="D101" s="405">
        <v>278302.5</v>
      </c>
      <c r="E101" s="406">
        <v>6718</v>
      </c>
      <c r="F101" s="405">
        <v>271584.5</v>
      </c>
      <c r="G101" s="406">
        <v>274943.5</v>
      </c>
      <c r="H101" s="428">
        <v>38418.229655174066</v>
      </c>
      <c r="I101" s="405">
        <v>38418.229655174066</v>
      </c>
      <c r="J101" s="54">
        <f t="shared" si="30"/>
        <v>0</v>
      </c>
      <c r="K101" s="54"/>
      <c r="L101" s="324">
        <f>H101</f>
        <v>38418.229655174066</v>
      </c>
      <c r="M101" s="63">
        <f>IF(L101&lt;&gt;0,+H101-L101,0)</f>
        <v>0</v>
      </c>
      <c r="N101" s="324">
        <f>I101</f>
        <v>38418.229655174066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2021</v>
      </c>
      <c r="D102" s="405">
        <v>271584.5</v>
      </c>
      <c r="E102" s="406">
        <v>7045</v>
      </c>
      <c r="F102" s="405">
        <v>264539.5</v>
      </c>
      <c r="G102" s="406">
        <v>268062</v>
      </c>
      <c r="H102" s="428">
        <v>37548.523685600252</v>
      </c>
      <c r="I102" s="405">
        <v>37548.523685600252</v>
      </c>
      <c r="J102" s="54">
        <f t="shared" si="30"/>
        <v>0</v>
      </c>
      <c r="K102" s="54"/>
      <c r="L102" s="324">
        <f>H102</f>
        <v>37548.523685600252</v>
      </c>
      <c r="M102" s="63">
        <f>IF(L102&lt;&gt;0,+H102-L102,0)</f>
        <v>0</v>
      </c>
      <c r="N102" s="324">
        <f>I102</f>
        <v>37548.523685600252</v>
      </c>
      <c r="O102" s="54">
        <f t="shared" ref="O102" si="34">IF(N102&lt;&gt;0,+I102-N102,0)</f>
        <v>0</v>
      </c>
      <c r="P102" s="54">
        <f t="shared" ref="P102" si="35">+O102-M102</f>
        <v>0</v>
      </c>
    </row>
    <row r="103" spans="1:16" ht="12.5">
      <c r="B103" s="7" t="str">
        <f t="shared" si="33"/>
        <v/>
      </c>
      <c r="C103" s="450">
        <f>IF(D93="","-",+C102+1)</f>
        <v>2022</v>
      </c>
      <c r="D103" s="405">
        <v>264539.5</v>
      </c>
      <c r="E103" s="406">
        <v>7407</v>
      </c>
      <c r="F103" s="405">
        <v>257132.5</v>
      </c>
      <c r="G103" s="406">
        <v>260836</v>
      </c>
      <c r="H103" s="428">
        <v>36146.602445472985</v>
      </c>
      <c r="I103" s="405">
        <v>36146.602445472985</v>
      </c>
      <c r="J103" s="54">
        <f t="shared" si="30"/>
        <v>0</v>
      </c>
      <c r="K103" s="54"/>
      <c r="L103" s="324">
        <f t="shared" ref="L103:L104" si="36">H103</f>
        <v>36146.602445472985</v>
      </c>
      <c r="M103" s="63">
        <f t="shared" ref="M103:M104" si="37">IF(L103&lt;&gt;0,+H103-L103,0)</f>
        <v>0</v>
      </c>
      <c r="N103" s="324">
        <f t="shared" ref="N103:N104" si="38">I103</f>
        <v>36146.602445472985</v>
      </c>
      <c r="O103" s="54">
        <f t="shared" ref="O103:O104" si="39">IF(N103&lt;&gt;0,+I103-N103,0)</f>
        <v>0</v>
      </c>
      <c r="P103" s="54">
        <f t="shared" ref="P103:P104" si="40">+O103-M103</f>
        <v>0</v>
      </c>
    </row>
    <row r="104" spans="1:16" ht="12.5">
      <c r="B104" s="7" t="str">
        <f t="shared" si="33"/>
        <v/>
      </c>
      <c r="C104" s="50">
        <f>IF(D93="","-",+C103+1)</f>
        <v>2023</v>
      </c>
      <c r="D104" s="405">
        <v>257132.5</v>
      </c>
      <c r="E104" s="406">
        <v>7602</v>
      </c>
      <c r="F104" s="405">
        <v>249530.5</v>
      </c>
      <c r="G104" s="406">
        <v>253331.5</v>
      </c>
      <c r="H104" s="428">
        <v>36539.310691118677</v>
      </c>
      <c r="I104" s="405">
        <v>36539.310691118677</v>
      </c>
      <c r="J104" s="54">
        <f t="shared" si="30"/>
        <v>0</v>
      </c>
      <c r="K104" s="54"/>
      <c r="L104" s="324">
        <f t="shared" si="36"/>
        <v>36539.310691118677</v>
      </c>
      <c r="M104" s="63">
        <f t="shared" si="37"/>
        <v>0</v>
      </c>
      <c r="N104" s="324">
        <f t="shared" si="38"/>
        <v>36539.310691118677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33"/>
        <v>IU</v>
      </c>
      <c r="C105" s="50">
        <f>IF(D93="","-",+C104+1)</f>
        <v>2024</v>
      </c>
      <c r="D105" s="405">
        <v>249335.10000000003</v>
      </c>
      <c r="E105" s="406">
        <v>7602</v>
      </c>
      <c r="F105" s="405">
        <v>241733.10000000003</v>
      </c>
      <c r="G105" s="406">
        <v>245534.10000000003</v>
      </c>
      <c r="H105" s="428">
        <v>40581.823513436779</v>
      </c>
      <c r="I105" s="405">
        <v>40581.823513436779</v>
      </c>
      <c r="J105" s="54">
        <f t="shared" si="30"/>
        <v>0</v>
      </c>
      <c r="K105" s="54"/>
      <c r="L105" s="324">
        <f t="shared" ref="L105" si="41">H105</f>
        <v>40581.823513436779</v>
      </c>
      <c r="M105" s="63">
        <f t="shared" ref="M105" si="42">IF(L105&lt;&gt;0,+H105-L105,0)</f>
        <v>0</v>
      </c>
      <c r="N105" s="324">
        <f t="shared" ref="N105" si="43">I105</f>
        <v>40581.823513436779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 ht="12.5">
      <c r="B106" s="7" t="str">
        <f t="shared" si="33"/>
        <v>IU</v>
      </c>
      <c r="C106" s="50">
        <f>IF(D93="","-",+C105+1)</f>
        <v>2025</v>
      </c>
      <c r="D106" s="12">
        <f>IF(F105+SUM(E$99:E105)=D$92,F105,D$92-SUM(E$99:E105))</f>
        <v>241928.5</v>
      </c>
      <c r="E106" s="354">
        <f t="shared" ref="E106:E154" si="46">IF(+J$96&lt;F105,J$96,D106)</f>
        <v>7807</v>
      </c>
      <c r="F106" s="55">
        <f t="shared" ref="F106:F154" si="47">+D106-E106</f>
        <v>234121.5</v>
      </c>
      <c r="G106" s="55">
        <f t="shared" ref="G106:G154" si="48">+(F106+D106)/2</f>
        <v>238025</v>
      </c>
      <c r="H106" s="436">
        <f t="shared" ref="H106:H154" si="49">+J$94*G106+E106</f>
        <v>39778.210889997717</v>
      </c>
      <c r="I106" s="437">
        <f t="shared" ref="I106:I154" si="50">+J$95*G106+E106</f>
        <v>39778.210889997717</v>
      </c>
      <c r="J106" s="54">
        <f t="shared" si="30"/>
        <v>0</v>
      </c>
      <c r="K106" s="54"/>
      <c r="L106" s="115"/>
      <c r="M106" s="54">
        <f t="shared" ref="M106:M130" si="51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 ht="12.5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234121.5</v>
      </c>
      <c r="E107" s="354">
        <f t="shared" si="46"/>
        <v>7807</v>
      </c>
      <c r="F107" s="55">
        <f t="shared" si="47"/>
        <v>226314.5</v>
      </c>
      <c r="G107" s="55">
        <f t="shared" si="48"/>
        <v>230218</v>
      </c>
      <c r="H107" s="436">
        <f t="shared" si="49"/>
        <v>38729.584722921936</v>
      </c>
      <c r="I107" s="437">
        <f t="shared" si="50"/>
        <v>38729.584722921936</v>
      </c>
      <c r="J107" s="54">
        <f t="shared" si="30"/>
        <v>0</v>
      </c>
      <c r="K107" s="54"/>
      <c r="L107" s="115"/>
      <c r="M107" s="54">
        <f t="shared" si="51"/>
        <v>0</v>
      </c>
      <c r="N107" s="115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226314.5</v>
      </c>
      <c r="E108" s="354">
        <f t="shared" si="46"/>
        <v>7807</v>
      </c>
      <c r="F108" s="55">
        <f t="shared" si="47"/>
        <v>218507.5</v>
      </c>
      <c r="G108" s="55">
        <f t="shared" si="48"/>
        <v>222411</v>
      </c>
      <c r="H108" s="436">
        <f t="shared" si="49"/>
        <v>37680.958555846162</v>
      </c>
      <c r="I108" s="437">
        <f t="shared" si="50"/>
        <v>37680.958555846162</v>
      </c>
      <c r="J108" s="54">
        <f t="shared" si="30"/>
        <v>0</v>
      </c>
      <c r="K108" s="54"/>
      <c r="L108" s="115"/>
      <c r="M108" s="54">
        <f t="shared" si="51"/>
        <v>0</v>
      </c>
      <c r="N108" s="115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218507.5</v>
      </c>
      <c r="E109" s="354">
        <f t="shared" si="46"/>
        <v>7807</v>
      </c>
      <c r="F109" s="55">
        <f t="shared" si="47"/>
        <v>210700.5</v>
      </c>
      <c r="G109" s="55">
        <f t="shared" si="48"/>
        <v>214604</v>
      </c>
      <c r="H109" s="436">
        <f t="shared" si="49"/>
        <v>36632.332388770388</v>
      </c>
      <c r="I109" s="437">
        <f t="shared" si="50"/>
        <v>36632.332388770388</v>
      </c>
      <c r="J109" s="54">
        <f t="shared" si="30"/>
        <v>0</v>
      </c>
      <c r="K109" s="54"/>
      <c r="L109" s="115"/>
      <c r="M109" s="54">
        <f t="shared" si="51"/>
        <v>0</v>
      </c>
      <c r="N109" s="115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210700.5</v>
      </c>
      <c r="E110" s="354">
        <f t="shared" si="46"/>
        <v>7807</v>
      </c>
      <c r="F110" s="55">
        <f t="shared" si="47"/>
        <v>202893.5</v>
      </c>
      <c r="G110" s="55">
        <f t="shared" si="48"/>
        <v>206797</v>
      </c>
      <c r="H110" s="436">
        <f t="shared" si="49"/>
        <v>35583.706221694607</v>
      </c>
      <c r="I110" s="437">
        <f t="shared" si="50"/>
        <v>35583.706221694607</v>
      </c>
      <c r="J110" s="54">
        <f t="shared" si="30"/>
        <v>0</v>
      </c>
      <c r="K110" s="54"/>
      <c r="L110" s="115"/>
      <c r="M110" s="54">
        <f t="shared" si="51"/>
        <v>0</v>
      </c>
      <c r="N110" s="115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202893.5</v>
      </c>
      <c r="E111" s="354">
        <f t="shared" si="46"/>
        <v>7807</v>
      </c>
      <c r="F111" s="55">
        <f t="shared" si="47"/>
        <v>195086.5</v>
      </c>
      <c r="G111" s="55">
        <f t="shared" si="48"/>
        <v>198990</v>
      </c>
      <c r="H111" s="436">
        <f t="shared" si="49"/>
        <v>34535.080054618826</v>
      </c>
      <c r="I111" s="437">
        <f t="shared" si="50"/>
        <v>34535.080054618826</v>
      </c>
      <c r="J111" s="54">
        <f t="shared" si="30"/>
        <v>0</v>
      </c>
      <c r="K111" s="54"/>
      <c r="L111" s="115"/>
      <c r="M111" s="54">
        <f t="shared" si="51"/>
        <v>0</v>
      </c>
      <c r="N111" s="115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195086.5</v>
      </c>
      <c r="E112" s="354">
        <f t="shared" si="46"/>
        <v>7807</v>
      </c>
      <c r="F112" s="55">
        <f t="shared" si="47"/>
        <v>187279.5</v>
      </c>
      <c r="G112" s="55">
        <f t="shared" si="48"/>
        <v>191183</v>
      </c>
      <c r="H112" s="436">
        <f t="shared" si="49"/>
        <v>33486.453887543044</v>
      </c>
      <c r="I112" s="437">
        <f t="shared" si="50"/>
        <v>33486.453887543044</v>
      </c>
      <c r="J112" s="54">
        <f t="shared" si="30"/>
        <v>0</v>
      </c>
      <c r="K112" s="54"/>
      <c r="L112" s="115"/>
      <c r="M112" s="54">
        <f t="shared" si="51"/>
        <v>0</v>
      </c>
      <c r="N112" s="115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187279.5</v>
      </c>
      <c r="E113" s="354">
        <f t="shared" si="46"/>
        <v>7807</v>
      </c>
      <c r="F113" s="55">
        <f t="shared" si="47"/>
        <v>179472.5</v>
      </c>
      <c r="G113" s="55">
        <f t="shared" si="48"/>
        <v>183376</v>
      </c>
      <c r="H113" s="436">
        <f t="shared" si="49"/>
        <v>32437.82772046727</v>
      </c>
      <c r="I113" s="437">
        <f t="shared" si="50"/>
        <v>32437.82772046727</v>
      </c>
      <c r="J113" s="54">
        <f t="shared" si="30"/>
        <v>0</v>
      </c>
      <c r="K113" s="54"/>
      <c r="L113" s="115"/>
      <c r="M113" s="54">
        <f t="shared" si="51"/>
        <v>0</v>
      </c>
      <c r="N113" s="115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179472.5</v>
      </c>
      <c r="E114" s="354">
        <f t="shared" si="46"/>
        <v>7807</v>
      </c>
      <c r="F114" s="55">
        <f t="shared" si="47"/>
        <v>171665.5</v>
      </c>
      <c r="G114" s="55">
        <f t="shared" si="48"/>
        <v>175569</v>
      </c>
      <c r="H114" s="436">
        <f t="shared" si="49"/>
        <v>31389.201553391489</v>
      </c>
      <c r="I114" s="437">
        <f t="shared" si="50"/>
        <v>31389.201553391489</v>
      </c>
      <c r="J114" s="54">
        <f t="shared" si="30"/>
        <v>0</v>
      </c>
      <c r="K114" s="54"/>
      <c r="L114" s="115"/>
      <c r="M114" s="54">
        <f t="shared" si="51"/>
        <v>0</v>
      </c>
      <c r="N114" s="115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171665.5</v>
      </c>
      <c r="E115" s="354">
        <f t="shared" si="46"/>
        <v>7807</v>
      </c>
      <c r="F115" s="55">
        <f t="shared" si="47"/>
        <v>163858.5</v>
      </c>
      <c r="G115" s="55">
        <f t="shared" si="48"/>
        <v>167762</v>
      </c>
      <c r="H115" s="436">
        <f t="shared" si="49"/>
        <v>30340.575386315712</v>
      </c>
      <c r="I115" s="437">
        <f t="shared" si="50"/>
        <v>30340.575386315712</v>
      </c>
      <c r="J115" s="54">
        <f t="shared" si="30"/>
        <v>0</v>
      </c>
      <c r="K115" s="54"/>
      <c r="L115" s="115"/>
      <c r="M115" s="54">
        <f t="shared" si="51"/>
        <v>0</v>
      </c>
      <c r="N115" s="115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163858.5</v>
      </c>
      <c r="E116" s="354">
        <f t="shared" si="46"/>
        <v>7807</v>
      </c>
      <c r="F116" s="55">
        <f t="shared" si="47"/>
        <v>156051.5</v>
      </c>
      <c r="G116" s="55">
        <f t="shared" si="48"/>
        <v>159955</v>
      </c>
      <c r="H116" s="436">
        <f t="shared" si="49"/>
        <v>29291.949219239934</v>
      </c>
      <c r="I116" s="437">
        <f t="shared" si="50"/>
        <v>29291.949219239934</v>
      </c>
      <c r="J116" s="54">
        <f t="shared" si="30"/>
        <v>0</v>
      </c>
      <c r="K116" s="54"/>
      <c r="L116" s="115"/>
      <c r="M116" s="54">
        <f t="shared" si="51"/>
        <v>0</v>
      </c>
      <c r="N116" s="115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156051.5</v>
      </c>
      <c r="E117" s="354">
        <f t="shared" si="46"/>
        <v>7807</v>
      </c>
      <c r="F117" s="55">
        <f t="shared" si="47"/>
        <v>148244.5</v>
      </c>
      <c r="G117" s="55">
        <f t="shared" si="48"/>
        <v>152148</v>
      </c>
      <c r="H117" s="436">
        <f t="shared" si="49"/>
        <v>28243.323052164156</v>
      </c>
      <c r="I117" s="437">
        <f t="shared" si="50"/>
        <v>28243.323052164156</v>
      </c>
      <c r="J117" s="54">
        <f t="shared" si="30"/>
        <v>0</v>
      </c>
      <c r="K117" s="54"/>
      <c r="L117" s="115"/>
      <c r="M117" s="54">
        <f t="shared" si="51"/>
        <v>0</v>
      </c>
      <c r="N117" s="115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148244.5</v>
      </c>
      <c r="E118" s="354">
        <f t="shared" si="46"/>
        <v>7807</v>
      </c>
      <c r="F118" s="55">
        <f t="shared" si="47"/>
        <v>140437.5</v>
      </c>
      <c r="G118" s="55">
        <f t="shared" si="48"/>
        <v>144341</v>
      </c>
      <c r="H118" s="436">
        <f t="shared" si="49"/>
        <v>27194.696885088375</v>
      </c>
      <c r="I118" s="437">
        <f t="shared" si="50"/>
        <v>27194.696885088375</v>
      </c>
      <c r="J118" s="54">
        <f t="shared" si="30"/>
        <v>0</v>
      </c>
      <c r="K118" s="54"/>
      <c r="L118" s="115"/>
      <c r="M118" s="54">
        <f t="shared" si="51"/>
        <v>0</v>
      </c>
      <c r="N118" s="115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140437.5</v>
      </c>
      <c r="E119" s="354">
        <f t="shared" si="46"/>
        <v>7807</v>
      </c>
      <c r="F119" s="55">
        <f t="shared" si="47"/>
        <v>132630.5</v>
      </c>
      <c r="G119" s="55">
        <f t="shared" si="48"/>
        <v>136534</v>
      </c>
      <c r="H119" s="436">
        <f t="shared" si="49"/>
        <v>26146.070718012597</v>
      </c>
      <c r="I119" s="437">
        <f t="shared" si="50"/>
        <v>26146.070718012597</v>
      </c>
      <c r="J119" s="54">
        <f t="shared" si="30"/>
        <v>0</v>
      </c>
      <c r="K119" s="54"/>
      <c r="L119" s="115"/>
      <c r="M119" s="54">
        <f t="shared" si="51"/>
        <v>0</v>
      </c>
      <c r="N119" s="115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132630.5</v>
      </c>
      <c r="E120" s="354">
        <f t="shared" si="46"/>
        <v>7807</v>
      </c>
      <c r="F120" s="55">
        <f t="shared" si="47"/>
        <v>124823.5</v>
      </c>
      <c r="G120" s="55">
        <f t="shared" si="48"/>
        <v>128727</v>
      </c>
      <c r="H120" s="436">
        <f t="shared" si="49"/>
        <v>25097.44455093682</v>
      </c>
      <c r="I120" s="437">
        <f t="shared" si="50"/>
        <v>25097.44455093682</v>
      </c>
      <c r="J120" s="54">
        <f t="shared" si="30"/>
        <v>0</v>
      </c>
      <c r="K120" s="54"/>
      <c r="L120" s="115"/>
      <c r="M120" s="54">
        <f t="shared" si="51"/>
        <v>0</v>
      </c>
      <c r="N120" s="115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124823.5</v>
      </c>
      <c r="E121" s="354">
        <f t="shared" si="46"/>
        <v>7807</v>
      </c>
      <c r="F121" s="55">
        <f t="shared" si="47"/>
        <v>117016.5</v>
      </c>
      <c r="G121" s="55">
        <f t="shared" si="48"/>
        <v>120920</v>
      </c>
      <c r="H121" s="436">
        <f t="shared" si="49"/>
        <v>24048.818383861042</v>
      </c>
      <c r="I121" s="437">
        <f t="shared" si="50"/>
        <v>24048.818383861042</v>
      </c>
      <c r="J121" s="54">
        <f t="shared" si="30"/>
        <v>0</v>
      </c>
      <c r="K121" s="54"/>
      <c r="L121" s="115"/>
      <c r="M121" s="54">
        <f t="shared" si="51"/>
        <v>0</v>
      </c>
      <c r="N121" s="115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117016.5</v>
      </c>
      <c r="E122" s="354">
        <f t="shared" si="46"/>
        <v>7807</v>
      </c>
      <c r="F122" s="55">
        <f t="shared" si="47"/>
        <v>109209.5</v>
      </c>
      <c r="G122" s="55">
        <f t="shared" si="48"/>
        <v>113113</v>
      </c>
      <c r="H122" s="436">
        <f t="shared" si="49"/>
        <v>23000.192216785261</v>
      </c>
      <c r="I122" s="437">
        <f t="shared" si="50"/>
        <v>23000.192216785261</v>
      </c>
      <c r="J122" s="54">
        <f t="shared" si="30"/>
        <v>0</v>
      </c>
      <c r="K122" s="54"/>
      <c r="L122" s="115"/>
      <c r="M122" s="54">
        <f t="shared" si="51"/>
        <v>0</v>
      </c>
      <c r="N122" s="115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109209.5</v>
      </c>
      <c r="E123" s="354">
        <f t="shared" si="46"/>
        <v>7807</v>
      </c>
      <c r="F123" s="55">
        <f t="shared" si="47"/>
        <v>101402.5</v>
      </c>
      <c r="G123" s="55">
        <f t="shared" si="48"/>
        <v>105306</v>
      </c>
      <c r="H123" s="436">
        <f t="shared" si="49"/>
        <v>21951.566049709483</v>
      </c>
      <c r="I123" s="437">
        <f t="shared" si="50"/>
        <v>21951.566049709483</v>
      </c>
      <c r="J123" s="54">
        <f t="shared" si="30"/>
        <v>0</v>
      </c>
      <c r="K123" s="54"/>
      <c r="L123" s="115"/>
      <c r="M123" s="54">
        <f t="shared" si="51"/>
        <v>0</v>
      </c>
      <c r="N123" s="115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101402.5</v>
      </c>
      <c r="E124" s="354">
        <f t="shared" si="46"/>
        <v>7807</v>
      </c>
      <c r="F124" s="55">
        <f t="shared" si="47"/>
        <v>93595.5</v>
      </c>
      <c r="G124" s="55">
        <f t="shared" si="48"/>
        <v>97499</v>
      </c>
      <c r="H124" s="436">
        <f t="shared" si="49"/>
        <v>20902.939882633706</v>
      </c>
      <c r="I124" s="437">
        <f t="shared" si="50"/>
        <v>20902.939882633706</v>
      </c>
      <c r="J124" s="54">
        <f t="shared" si="30"/>
        <v>0</v>
      </c>
      <c r="K124" s="54"/>
      <c r="L124" s="115"/>
      <c r="M124" s="54">
        <f t="shared" si="51"/>
        <v>0</v>
      </c>
      <c r="N124" s="115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93595.5</v>
      </c>
      <c r="E125" s="354">
        <f t="shared" si="46"/>
        <v>7807</v>
      </c>
      <c r="F125" s="55">
        <f t="shared" si="47"/>
        <v>85788.5</v>
      </c>
      <c r="G125" s="55">
        <f t="shared" si="48"/>
        <v>89692</v>
      </c>
      <c r="H125" s="436">
        <f t="shared" si="49"/>
        <v>19854.313715557924</v>
      </c>
      <c r="I125" s="437">
        <f t="shared" si="50"/>
        <v>19854.313715557924</v>
      </c>
      <c r="J125" s="54">
        <f t="shared" si="30"/>
        <v>0</v>
      </c>
      <c r="K125" s="54"/>
      <c r="L125" s="115"/>
      <c r="M125" s="54">
        <f t="shared" si="51"/>
        <v>0</v>
      </c>
      <c r="N125" s="115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85788.5</v>
      </c>
      <c r="E126" s="354">
        <f t="shared" si="46"/>
        <v>7807</v>
      </c>
      <c r="F126" s="55">
        <f t="shared" si="47"/>
        <v>77981.5</v>
      </c>
      <c r="G126" s="55">
        <f t="shared" si="48"/>
        <v>81885</v>
      </c>
      <c r="H126" s="436">
        <f t="shared" si="49"/>
        <v>18805.68754848215</v>
      </c>
      <c r="I126" s="437">
        <f t="shared" si="50"/>
        <v>18805.68754848215</v>
      </c>
      <c r="J126" s="54">
        <f t="shared" si="30"/>
        <v>0</v>
      </c>
      <c r="K126" s="54"/>
      <c r="L126" s="115"/>
      <c r="M126" s="54">
        <f t="shared" si="51"/>
        <v>0</v>
      </c>
      <c r="N126" s="115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77981.5</v>
      </c>
      <c r="E127" s="354">
        <f t="shared" si="46"/>
        <v>7807</v>
      </c>
      <c r="F127" s="55">
        <f t="shared" si="47"/>
        <v>70174.5</v>
      </c>
      <c r="G127" s="55">
        <f t="shared" si="48"/>
        <v>74078</v>
      </c>
      <c r="H127" s="436">
        <f t="shared" si="49"/>
        <v>17757.061381406369</v>
      </c>
      <c r="I127" s="437">
        <f t="shared" si="50"/>
        <v>17757.061381406369</v>
      </c>
      <c r="J127" s="54">
        <f t="shared" si="30"/>
        <v>0</v>
      </c>
      <c r="K127" s="54"/>
      <c r="L127" s="115"/>
      <c r="M127" s="54">
        <f t="shared" si="51"/>
        <v>0</v>
      </c>
      <c r="N127" s="115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70174.5</v>
      </c>
      <c r="E128" s="354">
        <f t="shared" si="46"/>
        <v>7807</v>
      </c>
      <c r="F128" s="55">
        <f t="shared" si="47"/>
        <v>62367.5</v>
      </c>
      <c r="G128" s="55">
        <f t="shared" si="48"/>
        <v>66271</v>
      </c>
      <c r="H128" s="436">
        <f t="shared" si="49"/>
        <v>16708.435214330591</v>
      </c>
      <c r="I128" s="437">
        <f t="shared" si="50"/>
        <v>16708.435214330591</v>
      </c>
      <c r="J128" s="54">
        <f t="shared" si="30"/>
        <v>0</v>
      </c>
      <c r="K128" s="54"/>
      <c r="L128" s="115"/>
      <c r="M128" s="54">
        <f t="shared" si="51"/>
        <v>0</v>
      </c>
      <c r="N128" s="115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62367.5</v>
      </c>
      <c r="E129" s="354">
        <f t="shared" si="46"/>
        <v>7807</v>
      </c>
      <c r="F129" s="55">
        <f t="shared" si="47"/>
        <v>54560.5</v>
      </c>
      <c r="G129" s="55">
        <f t="shared" si="48"/>
        <v>58464</v>
      </c>
      <c r="H129" s="436">
        <f t="shared" si="49"/>
        <v>15659.809047254812</v>
      </c>
      <c r="I129" s="437">
        <f t="shared" si="50"/>
        <v>15659.809047254812</v>
      </c>
      <c r="J129" s="54">
        <f t="shared" si="30"/>
        <v>0</v>
      </c>
      <c r="K129" s="54"/>
      <c r="L129" s="115"/>
      <c r="M129" s="54">
        <f t="shared" si="51"/>
        <v>0</v>
      </c>
      <c r="N129" s="115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54560.5</v>
      </c>
      <c r="E130" s="354">
        <f t="shared" si="46"/>
        <v>7807</v>
      </c>
      <c r="F130" s="55">
        <f t="shared" si="47"/>
        <v>46753.5</v>
      </c>
      <c r="G130" s="55">
        <f t="shared" si="48"/>
        <v>50657</v>
      </c>
      <c r="H130" s="436">
        <f t="shared" si="49"/>
        <v>14611.182880179033</v>
      </c>
      <c r="I130" s="437">
        <f t="shared" si="50"/>
        <v>14611.182880179033</v>
      </c>
      <c r="J130" s="54">
        <f t="shared" si="30"/>
        <v>0</v>
      </c>
      <c r="K130" s="54"/>
      <c r="L130" s="115"/>
      <c r="M130" s="54">
        <f t="shared" si="51"/>
        <v>0</v>
      </c>
      <c r="N130" s="115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46753.5</v>
      </c>
      <c r="E131" s="354">
        <f t="shared" si="46"/>
        <v>7807</v>
      </c>
      <c r="F131" s="55">
        <f t="shared" si="47"/>
        <v>38946.5</v>
      </c>
      <c r="G131" s="55">
        <f t="shared" si="48"/>
        <v>42850</v>
      </c>
      <c r="H131" s="436">
        <f t="shared" si="49"/>
        <v>13562.556713103255</v>
      </c>
      <c r="I131" s="437">
        <f t="shared" si="50"/>
        <v>13562.556713103255</v>
      </c>
      <c r="J131" s="54">
        <f t="shared" ref="J131:J154" si="52">+I540-H540</f>
        <v>0</v>
      </c>
      <c r="K131" s="54"/>
      <c r="L131" s="115"/>
      <c r="M131" s="54">
        <f t="shared" ref="M131:M154" si="53">IF(L540&lt;&gt;0,+H540-L540,0)</f>
        <v>0</v>
      </c>
      <c r="N131" s="115"/>
      <c r="O131" s="54">
        <f t="shared" ref="O131:O154" si="54">IF(N540&lt;&gt;0,+I540-N540,0)</f>
        <v>0</v>
      </c>
      <c r="P131" s="54">
        <f t="shared" ref="P131:P154" si="55">+O540-M540</f>
        <v>0</v>
      </c>
    </row>
    <row r="132" spans="2:16" ht="12.5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38946.5</v>
      </c>
      <c r="E132" s="354">
        <f t="shared" si="46"/>
        <v>7807</v>
      </c>
      <c r="F132" s="55">
        <f t="shared" si="47"/>
        <v>31139.5</v>
      </c>
      <c r="G132" s="55">
        <f t="shared" si="48"/>
        <v>35043</v>
      </c>
      <c r="H132" s="436">
        <f t="shared" si="49"/>
        <v>12513.930546027477</v>
      </c>
      <c r="I132" s="437">
        <f t="shared" si="50"/>
        <v>12513.930546027477</v>
      </c>
      <c r="J132" s="54">
        <f t="shared" si="52"/>
        <v>0</v>
      </c>
      <c r="K132" s="54"/>
      <c r="L132" s="115"/>
      <c r="M132" s="54">
        <f t="shared" si="53"/>
        <v>0</v>
      </c>
      <c r="N132" s="115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31139.5</v>
      </c>
      <c r="E133" s="354">
        <f t="shared" si="46"/>
        <v>7807</v>
      </c>
      <c r="F133" s="55">
        <f t="shared" si="47"/>
        <v>23332.5</v>
      </c>
      <c r="G133" s="55">
        <f t="shared" si="48"/>
        <v>27236</v>
      </c>
      <c r="H133" s="436">
        <f t="shared" si="49"/>
        <v>11465.304378951698</v>
      </c>
      <c r="I133" s="437">
        <f t="shared" si="50"/>
        <v>11465.304378951698</v>
      </c>
      <c r="J133" s="54">
        <f t="shared" si="52"/>
        <v>0</v>
      </c>
      <c r="K133" s="54"/>
      <c r="L133" s="115"/>
      <c r="M133" s="54">
        <f t="shared" si="53"/>
        <v>0</v>
      </c>
      <c r="N133" s="115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23332.5</v>
      </c>
      <c r="E134" s="354">
        <f t="shared" si="46"/>
        <v>7807</v>
      </c>
      <c r="F134" s="55">
        <f t="shared" si="47"/>
        <v>15525.5</v>
      </c>
      <c r="G134" s="55">
        <f t="shared" si="48"/>
        <v>19429</v>
      </c>
      <c r="H134" s="436">
        <f t="shared" si="49"/>
        <v>10416.678211875918</v>
      </c>
      <c r="I134" s="437">
        <f t="shared" si="50"/>
        <v>10416.678211875918</v>
      </c>
      <c r="J134" s="54">
        <f t="shared" si="52"/>
        <v>0</v>
      </c>
      <c r="K134" s="54"/>
      <c r="L134" s="115"/>
      <c r="M134" s="54">
        <f t="shared" si="53"/>
        <v>0</v>
      </c>
      <c r="N134" s="115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15525.5</v>
      </c>
      <c r="E135" s="354">
        <f t="shared" si="46"/>
        <v>7807</v>
      </c>
      <c r="F135" s="55">
        <f t="shared" si="47"/>
        <v>7718.5</v>
      </c>
      <c r="G135" s="55">
        <f t="shared" si="48"/>
        <v>11622</v>
      </c>
      <c r="H135" s="436">
        <f t="shared" si="49"/>
        <v>9368.0520448001407</v>
      </c>
      <c r="I135" s="437">
        <f t="shared" si="50"/>
        <v>9368.0520448001407</v>
      </c>
      <c r="J135" s="54">
        <f t="shared" si="52"/>
        <v>0</v>
      </c>
      <c r="K135" s="54"/>
      <c r="L135" s="115"/>
      <c r="M135" s="54">
        <f t="shared" si="53"/>
        <v>0</v>
      </c>
      <c r="N135" s="115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7718.5</v>
      </c>
      <c r="E136" s="354">
        <f t="shared" si="46"/>
        <v>7718.5</v>
      </c>
      <c r="F136" s="55">
        <f t="shared" si="47"/>
        <v>0</v>
      </c>
      <c r="G136" s="55">
        <f t="shared" si="48"/>
        <v>3859.25</v>
      </c>
      <c r="H136" s="436">
        <f t="shared" si="49"/>
        <v>8236.869480631125</v>
      </c>
      <c r="I136" s="437">
        <f t="shared" si="50"/>
        <v>8236.869480631125</v>
      </c>
      <c r="J136" s="54">
        <f t="shared" si="52"/>
        <v>0</v>
      </c>
      <c r="K136" s="54"/>
      <c r="L136" s="115"/>
      <c r="M136" s="54">
        <f t="shared" si="53"/>
        <v>0</v>
      </c>
      <c r="N136" s="115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6"/>
        <v>0</v>
      </c>
      <c r="F137" s="55">
        <f t="shared" si="47"/>
        <v>0</v>
      </c>
      <c r="G137" s="55">
        <f t="shared" si="48"/>
        <v>0</v>
      </c>
      <c r="H137" s="436">
        <f t="shared" si="49"/>
        <v>0</v>
      </c>
      <c r="I137" s="437">
        <f t="shared" si="50"/>
        <v>0</v>
      </c>
      <c r="J137" s="54">
        <f t="shared" si="52"/>
        <v>0</v>
      </c>
      <c r="K137" s="54"/>
      <c r="L137" s="115"/>
      <c r="M137" s="54">
        <f t="shared" si="53"/>
        <v>0</v>
      </c>
      <c r="N137" s="115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6"/>
        <v>0</v>
      </c>
      <c r="F138" s="55">
        <f t="shared" si="47"/>
        <v>0</v>
      </c>
      <c r="G138" s="55">
        <f t="shared" si="48"/>
        <v>0</v>
      </c>
      <c r="H138" s="436">
        <f t="shared" si="49"/>
        <v>0</v>
      </c>
      <c r="I138" s="437">
        <f t="shared" si="50"/>
        <v>0</v>
      </c>
      <c r="J138" s="54">
        <f t="shared" si="52"/>
        <v>0</v>
      </c>
      <c r="K138" s="54"/>
      <c r="L138" s="115"/>
      <c r="M138" s="54">
        <f t="shared" si="53"/>
        <v>0</v>
      </c>
      <c r="N138" s="115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6"/>
        <v>0</v>
      </c>
      <c r="F139" s="55">
        <f t="shared" si="47"/>
        <v>0</v>
      </c>
      <c r="G139" s="55">
        <f t="shared" si="48"/>
        <v>0</v>
      </c>
      <c r="H139" s="436">
        <f t="shared" si="49"/>
        <v>0</v>
      </c>
      <c r="I139" s="437">
        <f t="shared" si="50"/>
        <v>0</v>
      </c>
      <c r="J139" s="54">
        <f t="shared" si="52"/>
        <v>0</v>
      </c>
      <c r="K139" s="54"/>
      <c r="L139" s="115"/>
      <c r="M139" s="54">
        <f t="shared" si="53"/>
        <v>0</v>
      </c>
      <c r="N139" s="115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6"/>
        <v>0</v>
      </c>
      <c r="F140" s="55">
        <f t="shared" si="47"/>
        <v>0</v>
      </c>
      <c r="G140" s="55">
        <f t="shared" si="48"/>
        <v>0</v>
      </c>
      <c r="H140" s="436">
        <f t="shared" si="49"/>
        <v>0</v>
      </c>
      <c r="I140" s="437">
        <f t="shared" si="50"/>
        <v>0</v>
      </c>
      <c r="J140" s="54">
        <f t="shared" si="52"/>
        <v>0</v>
      </c>
      <c r="K140" s="54"/>
      <c r="L140" s="115"/>
      <c r="M140" s="54">
        <f t="shared" si="53"/>
        <v>0</v>
      </c>
      <c r="N140" s="115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6"/>
        <v>0</v>
      </c>
      <c r="F141" s="55">
        <f t="shared" si="47"/>
        <v>0</v>
      </c>
      <c r="G141" s="55">
        <f t="shared" si="48"/>
        <v>0</v>
      </c>
      <c r="H141" s="436">
        <f t="shared" si="49"/>
        <v>0</v>
      </c>
      <c r="I141" s="437">
        <f t="shared" si="50"/>
        <v>0</v>
      </c>
      <c r="J141" s="54">
        <f t="shared" si="52"/>
        <v>0</v>
      </c>
      <c r="K141" s="54"/>
      <c r="L141" s="115"/>
      <c r="M141" s="54">
        <f t="shared" si="53"/>
        <v>0</v>
      </c>
      <c r="N141" s="115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6"/>
        <v>0</v>
      </c>
      <c r="F142" s="55">
        <f t="shared" si="47"/>
        <v>0</v>
      </c>
      <c r="G142" s="55">
        <f t="shared" si="48"/>
        <v>0</v>
      </c>
      <c r="H142" s="436">
        <f t="shared" si="49"/>
        <v>0</v>
      </c>
      <c r="I142" s="437">
        <f t="shared" si="50"/>
        <v>0</v>
      </c>
      <c r="J142" s="54">
        <f t="shared" si="52"/>
        <v>0</v>
      </c>
      <c r="K142" s="54"/>
      <c r="L142" s="115"/>
      <c r="M142" s="54">
        <f t="shared" si="53"/>
        <v>0</v>
      </c>
      <c r="N142" s="115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6"/>
        <v>0</v>
      </c>
      <c r="F143" s="55">
        <f t="shared" si="47"/>
        <v>0</v>
      </c>
      <c r="G143" s="55">
        <f t="shared" si="48"/>
        <v>0</v>
      </c>
      <c r="H143" s="436">
        <f t="shared" si="49"/>
        <v>0</v>
      </c>
      <c r="I143" s="437">
        <f t="shared" si="50"/>
        <v>0</v>
      </c>
      <c r="J143" s="54">
        <f t="shared" si="52"/>
        <v>0</v>
      </c>
      <c r="K143" s="54"/>
      <c r="L143" s="115"/>
      <c r="M143" s="54">
        <f t="shared" si="53"/>
        <v>0</v>
      </c>
      <c r="N143" s="115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6"/>
        <v>0</v>
      </c>
      <c r="F144" s="55">
        <f t="shared" si="47"/>
        <v>0</v>
      </c>
      <c r="G144" s="55">
        <f t="shared" si="48"/>
        <v>0</v>
      </c>
      <c r="H144" s="436">
        <f t="shared" si="49"/>
        <v>0</v>
      </c>
      <c r="I144" s="437">
        <f t="shared" si="50"/>
        <v>0</v>
      </c>
      <c r="J144" s="54">
        <f t="shared" si="52"/>
        <v>0</v>
      </c>
      <c r="K144" s="54"/>
      <c r="L144" s="115"/>
      <c r="M144" s="54">
        <f t="shared" si="53"/>
        <v>0</v>
      </c>
      <c r="N144" s="115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6"/>
        <v>0</v>
      </c>
      <c r="F145" s="55">
        <f t="shared" si="47"/>
        <v>0</v>
      </c>
      <c r="G145" s="55">
        <f t="shared" si="48"/>
        <v>0</v>
      </c>
      <c r="H145" s="436">
        <f t="shared" si="49"/>
        <v>0</v>
      </c>
      <c r="I145" s="437">
        <f t="shared" si="50"/>
        <v>0</v>
      </c>
      <c r="J145" s="54">
        <f t="shared" si="52"/>
        <v>0</v>
      </c>
      <c r="K145" s="54"/>
      <c r="L145" s="115"/>
      <c r="M145" s="54">
        <f t="shared" si="53"/>
        <v>0</v>
      </c>
      <c r="N145" s="115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6"/>
        <v>0</v>
      </c>
      <c r="F146" s="55">
        <f t="shared" si="47"/>
        <v>0</v>
      </c>
      <c r="G146" s="55">
        <f t="shared" si="48"/>
        <v>0</v>
      </c>
      <c r="H146" s="436">
        <f t="shared" si="49"/>
        <v>0</v>
      </c>
      <c r="I146" s="437">
        <f t="shared" si="50"/>
        <v>0</v>
      </c>
      <c r="J146" s="54">
        <f t="shared" si="52"/>
        <v>0</v>
      </c>
      <c r="K146" s="54"/>
      <c r="L146" s="115"/>
      <c r="M146" s="54">
        <f t="shared" si="53"/>
        <v>0</v>
      </c>
      <c r="N146" s="115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6"/>
        <v>0</v>
      </c>
      <c r="F147" s="55">
        <f t="shared" si="47"/>
        <v>0</v>
      </c>
      <c r="G147" s="55">
        <f t="shared" si="48"/>
        <v>0</v>
      </c>
      <c r="H147" s="436">
        <f t="shared" si="49"/>
        <v>0</v>
      </c>
      <c r="I147" s="437">
        <f t="shared" si="50"/>
        <v>0</v>
      </c>
      <c r="J147" s="54">
        <f t="shared" si="52"/>
        <v>0</v>
      </c>
      <c r="K147" s="54"/>
      <c r="L147" s="115"/>
      <c r="M147" s="54">
        <f t="shared" si="53"/>
        <v>0</v>
      </c>
      <c r="N147" s="115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6"/>
        <v>0</v>
      </c>
      <c r="F148" s="55">
        <f t="shared" si="47"/>
        <v>0</v>
      </c>
      <c r="G148" s="55">
        <f t="shared" si="48"/>
        <v>0</v>
      </c>
      <c r="H148" s="436">
        <f t="shared" si="49"/>
        <v>0</v>
      </c>
      <c r="I148" s="437">
        <f t="shared" si="50"/>
        <v>0</v>
      </c>
      <c r="J148" s="54">
        <f t="shared" si="52"/>
        <v>0</v>
      </c>
      <c r="K148" s="54"/>
      <c r="L148" s="115"/>
      <c r="M148" s="54">
        <f t="shared" si="53"/>
        <v>0</v>
      </c>
      <c r="N148" s="115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6"/>
        <v>0</v>
      </c>
      <c r="F149" s="55">
        <f t="shared" si="47"/>
        <v>0</v>
      </c>
      <c r="G149" s="55">
        <f t="shared" si="48"/>
        <v>0</v>
      </c>
      <c r="H149" s="436">
        <f t="shared" si="49"/>
        <v>0</v>
      </c>
      <c r="I149" s="437">
        <f t="shared" si="50"/>
        <v>0</v>
      </c>
      <c r="J149" s="54">
        <f t="shared" si="52"/>
        <v>0</v>
      </c>
      <c r="K149" s="54"/>
      <c r="L149" s="115"/>
      <c r="M149" s="54">
        <f t="shared" si="53"/>
        <v>0</v>
      </c>
      <c r="N149" s="115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6"/>
        <v>0</v>
      </c>
      <c r="F150" s="55">
        <f t="shared" si="47"/>
        <v>0</v>
      </c>
      <c r="G150" s="55">
        <f t="shared" si="48"/>
        <v>0</v>
      </c>
      <c r="H150" s="436">
        <f t="shared" si="49"/>
        <v>0</v>
      </c>
      <c r="I150" s="437">
        <f t="shared" si="50"/>
        <v>0</v>
      </c>
      <c r="J150" s="54">
        <f t="shared" si="52"/>
        <v>0</v>
      </c>
      <c r="K150" s="54"/>
      <c r="L150" s="115"/>
      <c r="M150" s="54">
        <f t="shared" si="53"/>
        <v>0</v>
      </c>
      <c r="N150" s="115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6"/>
        <v>0</v>
      </c>
      <c r="F151" s="55">
        <f t="shared" si="47"/>
        <v>0</v>
      </c>
      <c r="G151" s="55">
        <f t="shared" si="48"/>
        <v>0</v>
      </c>
      <c r="H151" s="436">
        <f t="shared" si="49"/>
        <v>0</v>
      </c>
      <c r="I151" s="437">
        <f t="shared" si="50"/>
        <v>0</v>
      </c>
      <c r="J151" s="54">
        <f t="shared" si="52"/>
        <v>0</v>
      </c>
      <c r="K151" s="54"/>
      <c r="L151" s="115"/>
      <c r="M151" s="54">
        <f t="shared" si="53"/>
        <v>0</v>
      </c>
      <c r="N151" s="115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6"/>
        <v>0</v>
      </c>
      <c r="F152" s="55">
        <f t="shared" si="47"/>
        <v>0</v>
      </c>
      <c r="G152" s="55">
        <f t="shared" si="48"/>
        <v>0</v>
      </c>
      <c r="H152" s="436">
        <f t="shared" si="49"/>
        <v>0</v>
      </c>
      <c r="I152" s="437">
        <f t="shared" si="50"/>
        <v>0</v>
      </c>
      <c r="J152" s="54">
        <f t="shared" si="52"/>
        <v>0</v>
      </c>
      <c r="K152" s="54"/>
      <c r="L152" s="115"/>
      <c r="M152" s="54">
        <f t="shared" si="53"/>
        <v>0</v>
      </c>
      <c r="N152" s="115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6"/>
        <v>0</v>
      </c>
      <c r="F153" s="55">
        <f t="shared" si="47"/>
        <v>0</v>
      </c>
      <c r="G153" s="55">
        <f t="shared" si="48"/>
        <v>0</v>
      </c>
      <c r="H153" s="436">
        <f t="shared" si="49"/>
        <v>0</v>
      </c>
      <c r="I153" s="437">
        <f t="shared" si="50"/>
        <v>0</v>
      </c>
      <c r="J153" s="54">
        <f t="shared" si="52"/>
        <v>0</v>
      </c>
      <c r="K153" s="54"/>
      <c r="L153" s="115"/>
      <c r="M153" s="54">
        <f t="shared" si="53"/>
        <v>0</v>
      </c>
      <c r="N153" s="115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3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6"/>
        <v>0</v>
      </c>
      <c r="F154" s="59">
        <f t="shared" si="47"/>
        <v>0</v>
      </c>
      <c r="G154" s="59">
        <f t="shared" si="48"/>
        <v>0</v>
      </c>
      <c r="H154" s="438">
        <f t="shared" si="49"/>
        <v>0</v>
      </c>
      <c r="I154" s="439">
        <f t="shared" si="50"/>
        <v>0</v>
      </c>
      <c r="J154" s="62">
        <f t="shared" si="52"/>
        <v>0</v>
      </c>
      <c r="K154" s="54"/>
      <c r="L154" s="116"/>
      <c r="M154" s="62">
        <f t="shared" si="53"/>
        <v>0</v>
      </c>
      <c r="N154" s="116"/>
      <c r="O154" s="62">
        <f t="shared" si="54"/>
        <v>0</v>
      </c>
      <c r="P154" s="62">
        <f t="shared" si="55"/>
        <v>0</v>
      </c>
    </row>
    <row r="155" spans="2:16" ht="12.5">
      <c r="C155" s="12" t="s">
        <v>77</v>
      </c>
      <c r="D155" s="267"/>
      <c r="E155" s="267">
        <f>SUM(E99:E154)</f>
        <v>288860</v>
      </c>
      <c r="F155" s="267"/>
      <c r="G155" s="267"/>
      <c r="H155" s="267">
        <f>SUM(H99:H154)</f>
        <v>989619.66456787346</v>
      </c>
      <c r="I155" s="267">
        <f>SUM(I99:I154)</f>
        <v>989619.66456787346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2"/>
  <sheetViews>
    <sheetView topLeftCell="A44" zoomScale="86" zoomScaleNormal="86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26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1014990.3846828633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1014990.3846828633</v>
      </c>
      <c r="O6" s="1"/>
      <c r="P6" s="1"/>
    </row>
    <row r="7" spans="1:16" ht="13.5" thickBot="1">
      <c r="C7" s="26" t="s">
        <v>46</v>
      </c>
      <c r="D7" s="88" t="s">
        <v>332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334</v>
      </c>
      <c r="E9" s="442" t="s">
        <v>341</v>
      </c>
      <c r="F9" s="32"/>
      <c r="G9" s="452" t="s">
        <v>412</v>
      </c>
      <c r="H9" s="32"/>
      <c r="I9" s="33"/>
      <c r="J9" s="34"/>
      <c r="P9" s="1"/>
    </row>
    <row r="10" spans="1:16" ht="13">
      <c r="C10" s="128" t="s">
        <v>226</v>
      </c>
      <c r="D10" s="336">
        <v>8147276.8700000001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214402.02289473685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2019</v>
      </c>
      <c r="D17" s="411">
        <v>0</v>
      </c>
      <c r="E17" s="412">
        <v>0</v>
      </c>
      <c r="F17" s="411">
        <v>5024000</v>
      </c>
      <c r="G17" s="412">
        <v>280481.45781944925</v>
      </c>
      <c r="H17" s="414">
        <v>280481.45781944925</v>
      </c>
      <c r="I17" s="52">
        <f>H17-G17</f>
        <v>0</v>
      </c>
      <c r="J17" s="52"/>
      <c r="K17" s="117">
        <f t="shared" ref="K17:K22" si="0">+G17</f>
        <v>280481.45781944925</v>
      </c>
      <c r="L17" s="53">
        <f t="shared" ref="L17:L18" si="1">IF(K17&lt;&gt;0,+G17-K17,0)</f>
        <v>0</v>
      </c>
      <c r="M17" s="117">
        <f t="shared" ref="M17:M22" si="2">+H17</f>
        <v>280481.45781944925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2020</v>
      </c>
      <c r="D18" s="411">
        <v>7156000</v>
      </c>
      <c r="E18" s="412">
        <v>170380.95238095237</v>
      </c>
      <c r="F18" s="411">
        <v>6985619.0476190476</v>
      </c>
      <c r="G18" s="412">
        <v>934062.15757277235</v>
      </c>
      <c r="H18" s="414">
        <v>934062.15757277235</v>
      </c>
      <c r="I18" s="52">
        <f>H18-G18</f>
        <v>0</v>
      </c>
      <c r="J18" s="52"/>
      <c r="K18" s="54">
        <f t="shared" si="0"/>
        <v>934062.15757277235</v>
      </c>
      <c r="L18" s="54">
        <f t="shared" si="1"/>
        <v>0</v>
      </c>
      <c r="M18" s="54">
        <f t="shared" si="2"/>
        <v>934062.15757277235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11">
        <v>9239264.0476190485</v>
      </c>
      <c r="E19" s="412">
        <v>218828.95348837209</v>
      </c>
      <c r="F19" s="411">
        <v>9020435.0941306762</v>
      </c>
      <c r="G19" s="412">
        <v>1203224.4158022963</v>
      </c>
      <c r="H19" s="414">
        <v>1203224.4158022963</v>
      </c>
      <c r="I19" s="52">
        <f t="shared" ref="I19:I71" si="5">H19-G19</f>
        <v>0</v>
      </c>
      <c r="J19" s="52"/>
      <c r="K19" s="54">
        <f t="shared" si="0"/>
        <v>1203224.4158022963</v>
      </c>
      <c r="L19" s="54">
        <f t="shared" ref="L19" si="6">IF(K19&lt;&gt;0,+G19-K19,0)</f>
        <v>0</v>
      </c>
      <c r="M19" s="54">
        <f t="shared" si="2"/>
        <v>1203224.4158022963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11">
        <v>7758491.0941306753</v>
      </c>
      <c r="E20" s="412">
        <v>193992.88095238095</v>
      </c>
      <c r="F20" s="411">
        <v>7564498.2131782947</v>
      </c>
      <c r="G20" s="412">
        <v>1019988.1643084703</v>
      </c>
      <c r="H20" s="414">
        <v>1019988.1643084703</v>
      </c>
      <c r="I20" s="52">
        <f t="shared" si="5"/>
        <v>0</v>
      </c>
      <c r="J20" s="52"/>
      <c r="K20" s="54">
        <f t="shared" si="0"/>
        <v>1019988.1643084703</v>
      </c>
      <c r="L20" s="54">
        <f t="shared" ref="L20" si="8">IF(K20&lt;&gt;0,+G20-K20,0)</f>
        <v>0</v>
      </c>
      <c r="M20" s="54">
        <f t="shared" si="2"/>
        <v>1019988.1643084703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11">
        <v>7564074.0831782948</v>
      </c>
      <c r="E21" s="412">
        <v>208904.53512820514</v>
      </c>
      <c r="F21" s="411">
        <v>7355169.5480500897</v>
      </c>
      <c r="G21" s="412">
        <v>1099277.167336459</v>
      </c>
      <c r="H21" s="414">
        <v>1099277.167336459</v>
      </c>
      <c r="I21" s="52">
        <f t="shared" si="5"/>
        <v>0</v>
      </c>
      <c r="J21" s="52"/>
      <c r="K21" s="54">
        <f t="shared" si="0"/>
        <v>1099277.167336459</v>
      </c>
      <c r="L21" s="54">
        <f t="shared" ref="L21" si="9">IF(K21&lt;&gt;0,+G21-K21,0)</f>
        <v>0</v>
      </c>
      <c r="M21" s="54">
        <f t="shared" si="2"/>
        <v>1099277.167336459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 ht="12.5">
      <c r="B22" s="7" t="str">
        <f t="shared" si="7"/>
        <v/>
      </c>
      <c r="C22" s="450">
        <f>IF(D11="","-",+C21+1)</f>
        <v>2024</v>
      </c>
      <c r="D22" s="411">
        <v>7355169.5480500897</v>
      </c>
      <c r="E22" s="412">
        <v>214402.02289473685</v>
      </c>
      <c r="F22" s="411">
        <v>7140767.5251553524</v>
      </c>
      <c r="G22" s="412">
        <v>1038787.3238188896</v>
      </c>
      <c r="H22" s="414">
        <v>1038787.3238188896</v>
      </c>
      <c r="I22" s="52">
        <f t="shared" si="5"/>
        <v>0</v>
      </c>
      <c r="J22" s="52"/>
      <c r="K22" s="54">
        <f t="shared" si="0"/>
        <v>1038787.3238188896</v>
      </c>
      <c r="L22" s="54">
        <f t="shared" ref="L22" si="12">IF(K22&lt;&gt;0,+G22-K22,0)</f>
        <v>0</v>
      </c>
      <c r="M22" s="54">
        <f t="shared" si="2"/>
        <v>1038787.3238188896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 ht="13">
      <c r="B23" s="7" t="str">
        <f t="shared" si="7"/>
        <v/>
      </c>
      <c r="C23" s="449">
        <f>IF(D11="","-",+C22+1)</f>
        <v>2025</v>
      </c>
      <c r="D23" s="411">
        <v>7140767.5251553524</v>
      </c>
      <c r="E23" s="412">
        <v>214402.02289473685</v>
      </c>
      <c r="F23" s="411">
        <v>6926365.502260616</v>
      </c>
      <c r="G23" s="412">
        <v>1013460.8561585967</v>
      </c>
      <c r="H23" s="414">
        <v>1013460.8561585967</v>
      </c>
      <c r="I23" s="52">
        <f t="shared" si="5"/>
        <v>0</v>
      </c>
      <c r="J23" s="52"/>
      <c r="K23" s="54">
        <f t="shared" ref="K23" si="15">+G23</f>
        <v>1013460.8561585967</v>
      </c>
      <c r="L23" s="54">
        <f t="shared" ref="L23" si="16">IF(K23&lt;&gt;0,+G23-K23,0)</f>
        <v>0</v>
      </c>
      <c r="M23" s="54">
        <f t="shared" ref="M23" si="17">+H23</f>
        <v>1013460.8561585967</v>
      </c>
      <c r="N23" s="54">
        <f t="shared" ref="N23" si="18">IF(M23&lt;&gt;0,+H23-M23,0)</f>
        <v>0</v>
      </c>
      <c r="O23" s="54">
        <f t="shared" ref="O23" si="19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6926365.502260616</v>
      </c>
      <c r="E24" s="354">
        <f t="shared" ref="E24:E71" si="20">IF(+I$14&lt;F23,I$14,D24)</f>
        <v>214402.02289473685</v>
      </c>
      <c r="F24" s="55">
        <f t="shared" ref="F24:F71" si="21">+D24-E24</f>
        <v>6711963.4793658797</v>
      </c>
      <c r="G24" s="355">
        <f t="shared" ref="G24:G71" si="22">(D24+F24)/2*I$12+E24</f>
        <v>1014990.3846828633</v>
      </c>
      <c r="H24" s="337">
        <f t="shared" ref="H24:H71" si="23">+(D24+F24)/2*I$13+E24</f>
        <v>1014990.3846828633</v>
      </c>
      <c r="I24" s="52">
        <f t="shared" si="5"/>
        <v>0</v>
      </c>
      <c r="J24" s="52"/>
      <c r="K24" s="115"/>
      <c r="L24" s="54">
        <f t="shared" ref="L24:L72" si="24">IF(K24&lt;&gt;0,+G24-K24,0)</f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6711963.4793658797</v>
      </c>
      <c r="E25" s="354">
        <f t="shared" si="20"/>
        <v>214402.02289473685</v>
      </c>
      <c r="F25" s="55">
        <f t="shared" si="21"/>
        <v>6497561.4564711433</v>
      </c>
      <c r="G25" s="355">
        <f t="shared" si="22"/>
        <v>989819.00708893652</v>
      </c>
      <c r="H25" s="337">
        <f t="shared" si="23"/>
        <v>989819.00708893652</v>
      </c>
      <c r="I25" s="52">
        <f t="shared" si="5"/>
        <v>0</v>
      </c>
      <c r="J25" s="52"/>
      <c r="K25" s="115"/>
      <c r="L25" s="54">
        <f t="shared" si="24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6497561.4564711433</v>
      </c>
      <c r="E26" s="354">
        <f t="shared" si="20"/>
        <v>214402.02289473685</v>
      </c>
      <c r="F26" s="55">
        <f t="shared" si="21"/>
        <v>6283159.4335764069</v>
      </c>
      <c r="G26" s="355">
        <f t="shared" si="22"/>
        <v>964647.62949500978</v>
      </c>
      <c r="H26" s="337">
        <f t="shared" si="23"/>
        <v>964647.62949500978</v>
      </c>
      <c r="I26" s="52">
        <f t="shared" si="5"/>
        <v>0</v>
      </c>
      <c r="J26" s="52"/>
      <c r="K26" s="115"/>
      <c r="L26" s="54">
        <f t="shared" si="24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6283159.4335764069</v>
      </c>
      <c r="E27" s="354">
        <f t="shared" si="20"/>
        <v>214402.02289473685</v>
      </c>
      <c r="F27" s="55">
        <f t="shared" si="21"/>
        <v>6068757.4106816705</v>
      </c>
      <c r="G27" s="355">
        <f t="shared" si="22"/>
        <v>939476.25190108304</v>
      </c>
      <c r="H27" s="337">
        <f t="shared" si="23"/>
        <v>939476.25190108304</v>
      </c>
      <c r="I27" s="52">
        <f t="shared" si="5"/>
        <v>0</v>
      </c>
      <c r="J27" s="52"/>
      <c r="K27" s="115"/>
      <c r="L27" s="54">
        <f t="shared" si="24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6068757.4106816705</v>
      </c>
      <c r="E28" s="354">
        <f t="shared" si="20"/>
        <v>214402.02289473685</v>
      </c>
      <c r="F28" s="55">
        <f t="shared" si="21"/>
        <v>5854355.3877869342</v>
      </c>
      <c r="G28" s="355">
        <f t="shared" si="22"/>
        <v>914304.87430715631</v>
      </c>
      <c r="H28" s="337">
        <f t="shared" si="23"/>
        <v>914304.87430715631</v>
      </c>
      <c r="I28" s="52">
        <f t="shared" si="5"/>
        <v>0</v>
      </c>
      <c r="J28" s="52"/>
      <c r="K28" s="115"/>
      <c r="L28" s="54">
        <f t="shared" si="24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5854355.3877869342</v>
      </c>
      <c r="E29" s="354">
        <f t="shared" si="20"/>
        <v>214402.02289473685</v>
      </c>
      <c r="F29" s="55">
        <f t="shared" si="21"/>
        <v>5639953.3648921978</v>
      </c>
      <c r="G29" s="355">
        <f t="shared" si="22"/>
        <v>889133.49671322957</v>
      </c>
      <c r="H29" s="337">
        <f t="shared" si="23"/>
        <v>889133.49671322957</v>
      </c>
      <c r="I29" s="52">
        <f t="shared" si="5"/>
        <v>0</v>
      </c>
      <c r="J29" s="52"/>
      <c r="K29" s="115"/>
      <c r="L29" s="54">
        <f t="shared" si="24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5639953.3648921978</v>
      </c>
      <c r="E30" s="354">
        <f t="shared" si="20"/>
        <v>214402.02289473685</v>
      </c>
      <c r="F30" s="55">
        <f t="shared" si="21"/>
        <v>5425551.3419974614</v>
      </c>
      <c r="G30" s="355">
        <f t="shared" si="22"/>
        <v>863962.11911930284</v>
      </c>
      <c r="H30" s="337">
        <f t="shared" si="23"/>
        <v>863962.11911930284</v>
      </c>
      <c r="I30" s="52">
        <f t="shared" si="5"/>
        <v>0</v>
      </c>
      <c r="J30" s="52"/>
      <c r="K30" s="115"/>
      <c r="L30" s="54">
        <f t="shared" si="24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5425551.3419974614</v>
      </c>
      <c r="E31" s="354">
        <f t="shared" si="20"/>
        <v>214402.02289473685</v>
      </c>
      <c r="F31" s="55">
        <f t="shared" si="21"/>
        <v>5211149.319102725</v>
      </c>
      <c r="G31" s="355">
        <f t="shared" si="22"/>
        <v>838790.7415253761</v>
      </c>
      <c r="H31" s="337">
        <f t="shared" si="23"/>
        <v>838790.7415253761</v>
      </c>
      <c r="I31" s="52">
        <f t="shared" si="5"/>
        <v>0</v>
      </c>
      <c r="J31" s="52"/>
      <c r="K31" s="115"/>
      <c r="L31" s="54">
        <f t="shared" si="24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5211149.319102725</v>
      </c>
      <c r="E32" s="354">
        <f t="shared" si="20"/>
        <v>214402.02289473685</v>
      </c>
      <c r="F32" s="55">
        <f t="shared" si="21"/>
        <v>4996747.2962079886</v>
      </c>
      <c r="G32" s="355">
        <f t="shared" si="22"/>
        <v>813619.36393144936</v>
      </c>
      <c r="H32" s="337">
        <f t="shared" si="23"/>
        <v>813619.36393144936</v>
      </c>
      <c r="I32" s="52">
        <f t="shared" si="5"/>
        <v>0</v>
      </c>
      <c r="J32" s="52"/>
      <c r="K32" s="115"/>
      <c r="L32" s="54">
        <f t="shared" si="24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4996747.2962079886</v>
      </c>
      <c r="E33" s="354">
        <f t="shared" si="20"/>
        <v>214402.02289473685</v>
      </c>
      <c r="F33" s="55">
        <f t="shared" si="21"/>
        <v>4782345.2733132523</v>
      </c>
      <c r="G33" s="355">
        <f t="shared" si="22"/>
        <v>788447.98633752263</v>
      </c>
      <c r="H33" s="337">
        <f t="shared" si="23"/>
        <v>788447.98633752263</v>
      </c>
      <c r="I33" s="52">
        <f t="shared" si="5"/>
        <v>0</v>
      </c>
      <c r="J33" s="52"/>
      <c r="K33" s="115"/>
      <c r="L33" s="54">
        <f t="shared" si="24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4782345.2733132523</v>
      </c>
      <c r="E34" s="354">
        <f t="shared" si="20"/>
        <v>214402.02289473685</v>
      </c>
      <c r="F34" s="55">
        <f t="shared" si="21"/>
        <v>4567943.2504185159</v>
      </c>
      <c r="G34" s="355">
        <f t="shared" si="22"/>
        <v>763276.60874359589</v>
      </c>
      <c r="H34" s="337">
        <f t="shared" si="23"/>
        <v>763276.60874359589</v>
      </c>
      <c r="I34" s="52">
        <f t="shared" si="5"/>
        <v>0</v>
      </c>
      <c r="J34" s="52"/>
      <c r="K34" s="115"/>
      <c r="L34" s="54">
        <f t="shared" si="24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>IU</v>
      </c>
      <c r="C35" s="50">
        <f>IF(D11="","-",+C34+1)</f>
        <v>2037</v>
      </c>
      <c r="D35" s="55">
        <f>IF(F34+SUM(E$17:E34)=D$10,F34,D$10-SUM(E$17:E34))</f>
        <v>4567943.2504185103</v>
      </c>
      <c r="E35" s="354">
        <f t="shared" si="20"/>
        <v>214402.02289473685</v>
      </c>
      <c r="F35" s="55">
        <f t="shared" si="21"/>
        <v>4353541.2275237739</v>
      </c>
      <c r="G35" s="355">
        <f t="shared" si="22"/>
        <v>738105.23114966857</v>
      </c>
      <c r="H35" s="337">
        <f t="shared" si="23"/>
        <v>738105.23114966857</v>
      </c>
      <c r="I35" s="52">
        <f t="shared" si="5"/>
        <v>0</v>
      </c>
      <c r="J35" s="52"/>
      <c r="K35" s="115"/>
      <c r="L35" s="54">
        <f t="shared" si="24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4353541.2275237739</v>
      </c>
      <c r="E36" s="354">
        <f t="shared" si="20"/>
        <v>214402.02289473685</v>
      </c>
      <c r="F36" s="55">
        <f t="shared" si="21"/>
        <v>4139139.2046290371</v>
      </c>
      <c r="G36" s="355">
        <f t="shared" si="22"/>
        <v>712933.85355574184</v>
      </c>
      <c r="H36" s="337">
        <f t="shared" si="23"/>
        <v>712933.85355574184</v>
      </c>
      <c r="I36" s="52">
        <f t="shared" si="5"/>
        <v>0</v>
      </c>
      <c r="J36" s="52"/>
      <c r="K36" s="115"/>
      <c r="L36" s="54">
        <f t="shared" si="24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4139139.2046290371</v>
      </c>
      <c r="E37" s="354">
        <f t="shared" si="20"/>
        <v>214402.02289473685</v>
      </c>
      <c r="F37" s="55">
        <f t="shared" si="21"/>
        <v>3924737.1817343002</v>
      </c>
      <c r="G37" s="355">
        <f t="shared" si="22"/>
        <v>687762.47596181498</v>
      </c>
      <c r="H37" s="337">
        <f t="shared" si="23"/>
        <v>687762.47596181498</v>
      </c>
      <c r="I37" s="52">
        <f t="shared" si="5"/>
        <v>0</v>
      </c>
      <c r="J37" s="52"/>
      <c r="K37" s="115"/>
      <c r="L37" s="54">
        <f t="shared" si="24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3924737.1817343002</v>
      </c>
      <c r="E38" s="354">
        <f t="shared" si="20"/>
        <v>214402.02289473685</v>
      </c>
      <c r="F38" s="55">
        <f t="shared" si="21"/>
        <v>3710335.1588395634</v>
      </c>
      <c r="G38" s="355">
        <f t="shared" si="22"/>
        <v>662591.09836788825</v>
      </c>
      <c r="H38" s="337">
        <f t="shared" si="23"/>
        <v>662591.09836788825</v>
      </c>
      <c r="I38" s="52">
        <f t="shared" si="5"/>
        <v>0</v>
      </c>
      <c r="J38" s="52"/>
      <c r="K38" s="115"/>
      <c r="L38" s="54">
        <f t="shared" si="24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3710335.1588395634</v>
      </c>
      <c r="E39" s="354">
        <f t="shared" si="20"/>
        <v>214402.02289473685</v>
      </c>
      <c r="F39" s="55">
        <f t="shared" si="21"/>
        <v>3495933.1359448265</v>
      </c>
      <c r="G39" s="355">
        <f t="shared" si="22"/>
        <v>637419.7207739614</v>
      </c>
      <c r="H39" s="337">
        <f t="shared" si="23"/>
        <v>637419.7207739614</v>
      </c>
      <c r="I39" s="52">
        <f t="shared" si="5"/>
        <v>0</v>
      </c>
      <c r="J39" s="52"/>
      <c r="K39" s="115"/>
      <c r="L39" s="54">
        <f t="shared" si="24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3495933.1359448265</v>
      </c>
      <c r="E40" s="354">
        <f t="shared" si="20"/>
        <v>214402.02289473685</v>
      </c>
      <c r="F40" s="55">
        <f t="shared" si="21"/>
        <v>3281531.1130500897</v>
      </c>
      <c r="G40" s="355">
        <f t="shared" si="22"/>
        <v>612248.34318003466</v>
      </c>
      <c r="H40" s="337">
        <f t="shared" si="23"/>
        <v>612248.34318003466</v>
      </c>
      <c r="I40" s="52">
        <f t="shared" si="5"/>
        <v>0</v>
      </c>
      <c r="J40" s="52"/>
      <c r="K40" s="115"/>
      <c r="L40" s="54">
        <f t="shared" si="24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3281531.1130500897</v>
      </c>
      <c r="E41" s="354">
        <f t="shared" si="20"/>
        <v>214402.02289473685</v>
      </c>
      <c r="F41" s="55">
        <f t="shared" si="21"/>
        <v>3067129.0901553528</v>
      </c>
      <c r="G41" s="355">
        <f t="shared" si="22"/>
        <v>587076.96558610792</v>
      </c>
      <c r="H41" s="337">
        <f t="shared" si="23"/>
        <v>587076.96558610792</v>
      </c>
      <c r="I41" s="52">
        <f t="shared" si="5"/>
        <v>0</v>
      </c>
      <c r="J41" s="52"/>
      <c r="K41" s="115"/>
      <c r="L41" s="54">
        <f t="shared" si="24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3067129.0901553528</v>
      </c>
      <c r="E42" s="354">
        <f t="shared" si="20"/>
        <v>214402.02289473685</v>
      </c>
      <c r="F42" s="55">
        <f t="shared" si="21"/>
        <v>2852727.067260616</v>
      </c>
      <c r="G42" s="355">
        <f t="shared" si="22"/>
        <v>561905.58799218107</v>
      </c>
      <c r="H42" s="337">
        <f t="shared" si="23"/>
        <v>561905.58799218107</v>
      </c>
      <c r="I42" s="52">
        <f t="shared" si="5"/>
        <v>0</v>
      </c>
      <c r="J42" s="52"/>
      <c r="K42" s="115"/>
      <c r="L42" s="54">
        <f t="shared" si="24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2852727.067260616</v>
      </c>
      <c r="E43" s="354">
        <f t="shared" si="20"/>
        <v>214402.02289473685</v>
      </c>
      <c r="F43" s="55">
        <f t="shared" si="21"/>
        <v>2638325.0443658791</v>
      </c>
      <c r="G43" s="355">
        <f t="shared" si="22"/>
        <v>536734.21039825422</v>
      </c>
      <c r="H43" s="337">
        <f t="shared" si="23"/>
        <v>536734.21039825422</v>
      </c>
      <c r="I43" s="52">
        <f t="shared" si="5"/>
        <v>0</v>
      </c>
      <c r="J43" s="52"/>
      <c r="K43" s="115"/>
      <c r="L43" s="54">
        <f t="shared" si="24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2638325.0443658791</v>
      </c>
      <c r="E44" s="354">
        <f t="shared" si="20"/>
        <v>214402.02289473685</v>
      </c>
      <c r="F44" s="55">
        <f t="shared" si="21"/>
        <v>2423923.0214711423</v>
      </c>
      <c r="G44" s="355">
        <f t="shared" si="22"/>
        <v>511562.83280432754</v>
      </c>
      <c r="H44" s="337">
        <f t="shared" si="23"/>
        <v>511562.83280432754</v>
      </c>
      <c r="I44" s="52">
        <f t="shared" si="5"/>
        <v>0</v>
      </c>
      <c r="J44" s="52"/>
      <c r="K44" s="115"/>
      <c r="L44" s="54">
        <f t="shared" si="24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2423923.0214711423</v>
      </c>
      <c r="E45" s="354">
        <f t="shared" si="20"/>
        <v>214402.02289473685</v>
      </c>
      <c r="F45" s="55">
        <f t="shared" si="21"/>
        <v>2209520.9985764055</v>
      </c>
      <c r="G45" s="355">
        <f t="shared" si="22"/>
        <v>486391.45521040069</v>
      </c>
      <c r="H45" s="337">
        <f t="shared" si="23"/>
        <v>486391.45521040069</v>
      </c>
      <c r="I45" s="52">
        <f t="shared" si="5"/>
        <v>0</v>
      </c>
      <c r="J45" s="52"/>
      <c r="K45" s="115"/>
      <c r="L45" s="54">
        <f t="shared" si="24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2209520.9985764055</v>
      </c>
      <c r="E46" s="354">
        <f t="shared" si="20"/>
        <v>214402.02289473685</v>
      </c>
      <c r="F46" s="55">
        <f t="shared" si="21"/>
        <v>1995118.9756816686</v>
      </c>
      <c r="G46" s="355">
        <f t="shared" si="22"/>
        <v>461220.07761647401</v>
      </c>
      <c r="H46" s="337">
        <f t="shared" si="23"/>
        <v>461220.07761647401</v>
      </c>
      <c r="I46" s="52">
        <f t="shared" si="5"/>
        <v>0</v>
      </c>
      <c r="J46" s="52"/>
      <c r="K46" s="115"/>
      <c r="L46" s="54">
        <f t="shared" si="24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1995118.9756816686</v>
      </c>
      <c r="E47" s="354">
        <f t="shared" si="20"/>
        <v>214402.02289473685</v>
      </c>
      <c r="F47" s="55">
        <f t="shared" si="21"/>
        <v>1780716.9527869318</v>
      </c>
      <c r="G47" s="355">
        <f t="shared" si="22"/>
        <v>436048.70002254716</v>
      </c>
      <c r="H47" s="337">
        <f t="shared" si="23"/>
        <v>436048.70002254716</v>
      </c>
      <c r="I47" s="52">
        <f t="shared" si="5"/>
        <v>0</v>
      </c>
      <c r="J47" s="52"/>
      <c r="K47" s="115"/>
      <c r="L47" s="54">
        <f t="shared" si="24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1780716.9527869318</v>
      </c>
      <c r="E48" s="354">
        <f t="shared" si="20"/>
        <v>214402.02289473685</v>
      </c>
      <c r="F48" s="55">
        <f t="shared" si="21"/>
        <v>1566314.9298921949</v>
      </c>
      <c r="G48" s="355">
        <f t="shared" si="22"/>
        <v>410877.32242862036</v>
      </c>
      <c r="H48" s="337">
        <f t="shared" si="23"/>
        <v>410877.32242862036</v>
      </c>
      <c r="I48" s="52">
        <f t="shared" si="5"/>
        <v>0</v>
      </c>
      <c r="J48" s="52"/>
      <c r="K48" s="115"/>
      <c r="L48" s="54">
        <f t="shared" si="24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1566314.9298921949</v>
      </c>
      <c r="E49" s="354">
        <f t="shared" si="20"/>
        <v>214402.02289473685</v>
      </c>
      <c r="F49" s="55">
        <f t="shared" si="21"/>
        <v>1351912.9069974581</v>
      </c>
      <c r="G49" s="355">
        <f t="shared" si="22"/>
        <v>385705.94483469357</v>
      </c>
      <c r="H49" s="337">
        <f t="shared" si="23"/>
        <v>385705.94483469357</v>
      </c>
      <c r="I49" s="52">
        <f t="shared" si="5"/>
        <v>0</v>
      </c>
      <c r="J49" s="52"/>
      <c r="K49" s="115"/>
      <c r="L49" s="54">
        <f t="shared" si="24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1351912.9069974637</v>
      </c>
      <c r="E50" s="354">
        <f t="shared" si="20"/>
        <v>214402.02289473685</v>
      </c>
      <c r="F50" s="55">
        <f t="shared" si="21"/>
        <v>1137510.8841027268</v>
      </c>
      <c r="G50" s="355">
        <f t="shared" si="22"/>
        <v>360534.56724076747</v>
      </c>
      <c r="H50" s="337">
        <f t="shared" si="23"/>
        <v>360534.56724076747</v>
      </c>
      <c r="I50" s="52">
        <f t="shared" si="5"/>
        <v>0</v>
      </c>
      <c r="J50" s="52"/>
      <c r="K50" s="115"/>
      <c r="L50" s="54">
        <f t="shared" si="24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1137510.8841027268</v>
      </c>
      <c r="E51" s="354">
        <f t="shared" si="20"/>
        <v>214402.02289473685</v>
      </c>
      <c r="F51" s="55">
        <f t="shared" si="21"/>
        <v>923108.86120798998</v>
      </c>
      <c r="G51" s="355">
        <f t="shared" si="22"/>
        <v>335363.18964684068</v>
      </c>
      <c r="H51" s="337">
        <f t="shared" si="23"/>
        <v>335363.18964684068</v>
      </c>
      <c r="I51" s="52">
        <f t="shared" si="5"/>
        <v>0</v>
      </c>
      <c r="J51" s="52"/>
      <c r="K51" s="115"/>
      <c r="L51" s="54">
        <f t="shared" si="24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923108.86120798998</v>
      </c>
      <c r="E52" s="354">
        <f t="shared" si="20"/>
        <v>214402.02289473685</v>
      </c>
      <c r="F52" s="55">
        <f t="shared" si="21"/>
        <v>708706.83831325313</v>
      </c>
      <c r="G52" s="355">
        <f t="shared" si="22"/>
        <v>310191.81205291388</v>
      </c>
      <c r="H52" s="337">
        <f t="shared" si="23"/>
        <v>310191.81205291388</v>
      </c>
      <c r="I52" s="52">
        <f t="shared" si="5"/>
        <v>0</v>
      </c>
      <c r="J52" s="52"/>
      <c r="K52" s="115"/>
      <c r="L52" s="54">
        <f t="shared" si="24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708706.83831325313</v>
      </c>
      <c r="E53" s="354">
        <f t="shared" si="20"/>
        <v>214402.02289473685</v>
      </c>
      <c r="F53" s="55">
        <f t="shared" si="21"/>
        <v>494304.81541851629</v>
      </c>
      <c r="G53" s="355">
        <f t="shared" si="22"/>
        <v>285020.43445898709</v>
      </c>
      <c r="H53" s="337">
        <f t="shared" si="23"/>
        <v>285020.43445898709</v>
      </c>
      <c r="I53" s="52">
        <f t="shared" si="5"/>
        <v>0</v>
      </c>
      <c r="J53" s="52"/>
      <c r="K53" s="115"/>
      <c r="L53" s="54">
        <f t="shared" si="24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494304.81541851629</v>
      </c>
      <c r="E54" s="354">
        <f t="shared" si="20"/>
        <v>214402.02289473685</v>
      </c>
      <c r="F54" s="55">
        <f t="shared" si="21"/>
        <v>279902.79252377944</v>
      </c>
      <c r="G54" s="355">
        <f t="shared" si="22"/>
        <v>259849.05686506032</v>
      </c>
      <c r="H54" s="337">
        <f t="shared" si="23"/>
        <v>259849.05686506032</v>
      </c>
      <c r="I54" s="52">
        <f t="shared" si="5"/>
        <v>0</v>
      </c>
      <c r="J54" s="52"/>
      <c r="K54" s="115"/>
      <c r="L54" s="54">
        <f t="shared" si="24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279902.79252377944</v>
      </c>
      <c r="E55" s="354">
        <f t="shared" si="20"/>
        <v>214402.02289473685</v>
      </c>
      <c r="F55" s="55">
        <f t="shared" si="21"/>
        <v>65500.769629042596</v>
      </c>
      <c r="G55" s="355">
        <f t="shared" si="22"/>
        <v>234677.67927113353</v>
      </c>
      <c r="H55" s="337">
        <f t="shared" si="23"/>
        <v>234677.67927113353</v>
      </c>
      <c r="I55" s="52">
        <f t="shared" si="5"/>
        <v>0</v>
      </c>
      <c r="J55" s="52"/>
      <c r="K55" s="115"/>
      <c r="L55" s="54">
        <f t="shared" si="24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65500.769629042596</v>
      </c>
      <c r="E56" s="354">
        <f t="shared" si="20"/>
        <v>65500.769629042596</v>
      </c>
      <c r="F56" s="55">
        <f t="shared" si="21"/>
        <v>0</v>
      </c>
      <c r="G56" s="355">
        <f t="shared" si="22"/>
        <v>69345.753418759239</v>
      </c>
      <c r="H56" s="337">
        <f t="shared" si="23"/>
        <v>69345.753418759239</v>
      </c>
      <c r="I56" s="52">
        <f t="shared" si="5"/>
        <v>0</v>
      </c>
      <c r="J56" s="52"/>
      <c r="K56" s="115"/>
      <c r="L56" s="54">
        <f t="shared" si="24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20"/>
        <v>0</v>
      </c>
      <c r="F57" s="55">
        <f t="shared" si="21"/>
        <v>0</v>
      </c>
      <c r="G57" s="355">
        <f t="shared" si="22"/>
        <v>0</v>
      </c>
      <c r="H57" s="337">
        <f t="shared" si="23"/>
        <v>0</v>
      </c>
      <c r="I57" s="52">
        <f t="shared" si="5"/>
        <v>0</v>
      </c>
      <c r="J57" s="52"/>
      <c r="K57" s="115"/>
      <c r="L57" s="54">
        <f t="shared" si="24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20"/>
        <v>0</v>
      </c>
      <c r="F58" s="55">
        <f t="shared" si="21"/>
        <v>0</v>
      </c>
      <c r="G58" s="355">
        <f t="shared" si="22"/>
        <v>0</v>
      </c>
      <c r="H58" s="337">
        <f t="shared" si="23"/>
        <v>0</v>
      </c>
      <c r="I58" s="52">
        <f t="shared" si="5"/>
        <v>0</v>
      </c>
      <c r="J58" s="52"/>
      <c r="K58" s="115"/>
      <c r="L58" s="54">
        <f t="shared" si="24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20"/>
        <v>0</v>
      </c>
      <c r="F59" s="55">
        <f t="shared" si="21"/>
        <v>0</v>
      </c>
      <c r="G59" s="355">
        <f t="shared" si="22"/>
        <v>0</v>
      </c>
      <c r="H59" s="337">
        <f t="shared" si="23"/>
        <v>0</v>
      </c>
      <c r="I59" s="52">
        <f t="shared" si="5"/>
        <v>0</v>
      </c>
      <c r="J59" s="52"/>
      <c r="K59" s="115"/>
      <c r="L59" s="54">
        <f t="shared" si="24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20"/>
        <v>0</v>
      </c>
      <c r="F60" s="55">
        <f t="shared" si="21"/>
        <v>0</v>
      </c>
      <c r="G60" s="355">
        <f t="shared" si="22"/>
        <v>0</v>
      </c>
      <c r="H60" s="337">
        <f t="shared" si="23"/>
        <v>0</v>
      </c>
      <c r="I60" s="52">
        <f t="shared" si="5"/>
        <v>0</v>
      </c>
      <c r="J60" s="52"/>
      <c r="K60" s="115"/>
      <c r="L60" s="54">
        <f t="shared" si="24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20"/>
        <v>0</v>
      </c>
      <c r="F61" s="55">
        <f t="shared" si="21"/>
        <v>0</v>
      </c>
      <c r="G61" s="355">
        <f t="shared" si="22"/>
        <v>0</v>
      </c>
      <c r="H61" s="337">
        <f t="shared" si="23"/>
        <v>0</v>
      </c>
      <c r="I61" s="52">
        <f t="shared" si="5"/>
        <v>0</v>
      </c>
      <c r="J61" s="52"/>
      <c r="K61" s="115"/>
      <c r="L61" s="54">
        <f t="shared" si="24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20"/>
        <v>0</v>
      </c>
      <c r="F62" s="55">
        <f t="shared" si="21"/>
        <v>0</v>
      </c>
      <c r="G62" s="355">
        <f t="shared" si="22"/>
        <v>0</v>
      </c>
      <c r="H62" s="337">
        <f t="shared" si="23"/>
        <v>0</v>
      </c>
      <c r="I62" s="52">
        <f t="shared" si="5"/>
        <v>0</v>
      </c>
      <c r="J62" s="52"/>
      <c r="K62" s="115"/>
      <c r="L62" s="54">
        <f t="shared" si="24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20"/>
        <v>0</v>
      </c>
      <c r="F63" s="55">
        <f t="shared" si="21"/>
        <v>0</v>
      </c>
      <c r="G63" s="355">
        <f t="shared" si="22"/>
        <v>0</v>
      </c>
      <c r="H63" s="337">
        <f t="shared" si="23"/>
        <v>0</v>
      </c>
      <c r="I63" s="52">
        <f t="shared" si="5"/>
        <v>0</v>
      </c>
      <c r="J63" s="52"/>
      <c r="K63" s="115"/>
      <c r="L63" s="54">
        <f t="shared" si="24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20"/>
        <v>0</v>
      </c>
      <c r="F64" s="55">
        <f t="shared" si="21"/>
        <v>0</v>
      </c>
      <c r="G64" s="355">
        <f t="shared" si="22"/>
        <v>0</v>
      </c>
      <c r="H64" s="337">
        <f t="shared" si="23"/>
        <v>0</v>
      </c>
      <c r="I64" s="52">
        <f t="shared" si="5"/>
        <v>0</v>
      </c>
      <c r="J64" s="52"/>
      <c r="K64" s="115"/>
      <c r="L64" s="54">
        <f t="shared" si="24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20"/>
        <v>0</v>
      </c>
      <c r="F65" s="55">
        <f t="shared" si="21"/>
        <v>0</v>
      </c>
      <c r="G65" s="355">
        <f t="shared" si="22"/>
        <v>0</v>
      </c>
      <c r="H65" s="337">
        <f t="shared" si="23"/>
        <v>0</v>
      </c>
      <c r="I65" s="52">
        <f t="shared" si="5"/>
        <v>0</v>
      </c>
      <c r="J65" s="52"/>
      <c r="K65" s="115"/>
      <c r="L65" s="54">
        <f t="shared" si="24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20"/>
        <v>0</v>
      </c>
      <c r="F66" s="55">
        <f t="shared" si="21"/>
        <v>0</v>
      </c>
      <c r="G66" s="355">
        <f t="shared" si="22"/>
        <v>0</v>
      </c>
      <c r="H66" s="337">
        <f t="shared" si="23"/>
        <v>0</v>
      </c>
      <c r="I66" s="52">
        <f t="shared" si="5"/>
        <v>0</v>
      </c>
      <c r="J66" s="52"/>
      <c r="K66" s="115"/>
      <c r="L66" s="54">
        <f t="shared" si="24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20"/>
        <v>0</v>
      </c>
      <c r="F67" s="55">
        <f t="shared" si="21"/>
        <v>0</v>
      </c>
      <c r="G67" s="355">
        <f t="shared" si="22"/>
        <v>0</v>
      </c>
      <c r="H67" s="337">
        <f t="shared" si="23"/>
        <v>0</v>
      </c>
      <c r="I67" s="52">
        <f t="shared" si="5"/>
        <v>0</v>
      </c>
      <c r="J67" s="52"/>
      <c r="K67" s="115"/>
      <c r="L67" s="54">
        <f t="shared" si="24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20"/>
        <v>0</v>
      </c>
      <c r="F68" s="55">
        <f t="shared" si="21"/>
        <v>0</v>
      </c>
      <c r="G68" s="355">
        <f t="shared" si="22"/>
        <v>0</v>
      </c>
      <c r="H68" s="337">
        <f t="shared" si="23"/>
        <v>0</v>
      </c>
      <c r="I68" s="52">
        <f t="shared" si="5"/>
        <v>0</v>
      </c>
      <c r="J68" s="52"/>
      <c r="K68" s="115"/>
      <c r="L68" s="54">
        <f t="shared" si="24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20"/>
        <v>0</v>
      </c>
      <c r="F69" s="55">
        <f t="shared" si="21"/>
        <v>0</v>
      </c>
      <c r="G69" s="355">
        <f t="shared" si="22"/>
        <v>0</v>
      </c>
      <c r="H69" s="337">
        <f t="shared" si="23"/>
        <v>0</v>
      </c>
      <c r="I69" s="52">
        <f t="shared" si="5"/>
        <v>0</v>
      </c>
      <c r="J69" s="52"/>
      <c r="K69" s="115"/>
      <c r="L69" s="54">
        <f t="shared" si="24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20"/>
        <v>0</v>
      </c>
      <c r="F70" s="55">
        <f t="shared" si="21"/>
        <v>0</v>
      </c>
      <c r="G70" s="355">
        <f t="shared" si="22"/>
        <v>0</v>
      </c>
      <c r="H70" s="337">
        <f t="shared" si="23"/>
        <v>0</v>
      </c>
      <c r="I70" s="52">
        <f t="shared" si="5"/>
        <v>0</v>
      </c>
      <c r="J70" s="52"/>
      <c r="K70" s="115"/>
      <c r="L70" s="54">
        <f t="shared" si="24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20"/>
        <v>0</v>
      </c>
      <c r="F71" s="55">
        <f t="shared" si="21"/>
        <v>0</v>
      </c>
      <c r="G71" s="355">
        <f t="shared" si="22"/>
        <v>0</v>
      </c>
      <c r="H71" s="337">
        <f t="shared" si="23"/>
        <v>0</v>
      </c>
      <c r="I71" s="52">
        <f t="shared" si="5"/>
        <v>0</v>
      </c>
      <c r="J71" s="52"/>
      <c r="K71" s="115"/>
      <c r="L71" s="54">
        <f t="shared" si="24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24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8147276.8699999973</v>
      </c>
      <c r="F73" s="267"/>
      <c r="G73" s="267">
        <f>SUM(G17:G72)</f>
        <v>26653316.31949963</v>
      </c>
      <c r="H73" s="267">
        <f>SUM(H17:H72)</f>
        <v>26653316.31949963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26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1038787.3238188896</v>
      </c>
      <c r="N87" s="364">
        <f>IF(J92&lt;D11,0,VLOOKUP(J92,C17:O72,11))</f>
        <v>1038787.3238188896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1185342.9090455258</v>
      </c>
      <c r="N88" s="367">
        <f>IF(J92&lt;D11,0,VLOOKUP(J92,C99:P154,7))</f>
        <v>1185342.9090455258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- E. 61st St 138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146555.58522663626</v>
      </c>
      <c r="N89" s="369">
        <f>+N88-N87</f>
        <v>146555.58522663626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TP2017011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8147701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220208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2019</v>
      </c>
      <c r="D99" s="411">
        <v>0</v>
      </c>
      <c r="E99" s="433">
        <v>0</v>
      </c>
      <c r="F99" s="411">
        <v>6388896</v>
      </c>
      <c r="G99" s="433">
        <v>3194448</v>
      </c>
      <c r="H99" s="414">
        <v>329392.39438521734</v>
      </c>
      <c r="I99" s="432">
        <v>329392.39438521734</v>
      </c>
      <c r="J99" s="54">
        <f>+I99-H99</f>
        <v>0</v>
      </c>
      <c r="K99" s="54"/>
      <c r="L99" s="53">
        <f>+H99</f>
        <v>329392.39438521734</v>
      </c>
      <c r="M99" s="53">
        <f t="shared" ref="M99" si="25">IF(L99&lt;&gt;0,+H99-L99,0)</f>
        <v>0</v>
      </c>
      <c r="N99" s="53">
        <f>+I99</f>
        <v>329392.39438521734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05">
        <v>8144614</v>
      </c>
      <c r="E100" s="406">
        <v>189410</v>
      </c>
      <c r="F100" s="405">
        <v>7955204</v>
      </c>
      <c r="G100" s="406">
        <v>8049909</v>
      </c>
      <c r="H100" s="428">
        <v>1117542.3763000495</v>
      </c>
      <c r="I100" s="405">
        <v>1117542.3763000495</v>
      </c>
      <c r="J100" s="54">
        <f t="shared" ref="J100:J130" si="28">+I100-H100</f>
        <v>0</v>
      </c>
      <c r="K100" s="54"/>
      <c r="L100" s="324">
        <f>H100</f>
        <v>1117542.3763000495</v>
      </c>
      <c r="M100" s="63">
        <f>IF(L100&lt;&gt;0,+H100-L100,0)</f>
        <v>0</v>
      </c>
      <c r="N100" s="324">
        <f>I100</f>
        <v>1117542.3763000495</v>
      </c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9">IF(D101=F100,"","IU")</f>
        <v>IU</v>
      </c>
      <c r="C101" s="50">
        <f>IF(D93="","-",+C100+1)</f>
        <v>2021</v>
      </c>
      <c r="D101" s="405">
        <v>7958291</v>
      </c>
      <c r="E101" s="406">
        <v>198724</v>
      </c>
      <c r="F101" s="405">
        <v>7759567</v>
      </c>
      <c r="G101" s="406">
        <v>7858929</v>
      </c>
      <c r="H101" s="428">
        <v>1093013.4811459687</v>
      </c>
      <c r="I101" s="405">
        <v>1093013.4811459687</v>
      </c>
      <c r="J101" s="54">
        <f t="shared" si="28"/>
        <v>0</v>
      </c>
      <c r="K101" s="54"/>
      <c r="L101" s="324">
        <f>H101</f>
        <v>1093013.4811459687</v>
      </c>
      <c r="M101" s="63">
        <f>IF(L101&lt;&gt;0,+H101-L101,0)</f>
        <v>0</v>
      </c>
      <c r="N101" s="324">
        <f>I101</f>
        <v>1093013.4811459687</v>
      </c>
      <c r="O101" s="54">
        <f t="shared" ref="O101" si="30">IF(N101&lt;&gt;0,+I101-N101,0)</f>
        <v>0</v>
      </c>
      <c r="P101" s="54">
        <f t="shared" ref="P101" si="31">+O101-M101</f>
        <v>0</v>
      </c>
    </row>
    <row r="102" spans="1:16" ht="12.5">
      <c r="B102" s="7" t="str">
        <f t="shared" si="29"/>
        <v>IU</v>
      </c>
      <c r="C102" s="450">
        <f>IF(D93="","-",+C101+1)</f>
        <v>2022</v>
      </c>
      <c r="D102" s="405">
        <v>7759143</v>
      </c>
      <c r="E102" s="406">
        <v>208905</v>
      </c>
      <c r="F102" s="405">
        <v>7550238</v>
      </c>
      <c r="G102" s="406">
        <v>7654690.5</v>
      </c>
      <c r="H102" s="428">
        <v>1052319.106232034</v>
      </c>
      <c r="I102" s="405">
        <v>1052319.106232034</v>
      </c>
      <c r="J102" s="54">
        <f t="shared" si="28"/>
        <v>0</v>
      </c>
      <c r="K102" s="54"/>
      <c r="L102" s="324">
        <f t="shared" ref="L102:L103" si="32">H102</f>
        <v>1052319.106232034</v>
      </c>
      <c r="M102" s="63">
        <f t="shared" ref="M102:M103" si="33">IF(L102&lt;&gt;0,+H102-L102,0)</f>
        <v>0</v>
      </c>
      <c r="N102" s="324">
        <f t="shared" ref="N102:N103" si="34">I102</f>
        <v>1052319.106232034</v>
      </c>
      <c r="O102" s="54">
        <f t="shared" ref="O102:O103" si="35">IF(N102&lt;&gt;0,+I102-N102,0)</f>
        <v>0</v>
      </c>
      <c r="P102" s="54">
        <f t="shared" ref="P102:P103" si="36">+O102-M102</f>
        <v>0</v>
      </c>
    </row>
    <row r="103" spans="1:16" ht="12.5">
      <c r="B103" s="7" t="str">
        <f t="shared" si="29"/>
        <v>IU</v>
      </c>
      <c r="C103" s="50">
        <f>IF(D93="","-",+C102+1)</f>
        <v>2023</v>
      </c>
      <c r="D103" s="405">
        <v>7550662</v>
      </c>
      <c r="E103" s="406">
        <v>214413</v>
      </c>
      <c r="F103" s="405">
        <v>7336249</v>
      </c>
      <c r="G103" s="406">
        <v>7443455.5</v>
      </c>
      <c r="H103" s="428">
        <v>1064656.9863144383</v>
      </c>
      <c r="I103" s="405">
        <v>1064656.9863144383</v>
      </c>
      <c r="J103" s="54">
        <f t="shared" si="28"/>
        <v>0</v>
      </c>
      <c r="K103" s="54"/>
      <c r="L103" s="324">
        <f t="shared" si="32"/>
        <v>1064656.9863144383</v>
      </c>
      <c r="M103" s="63">
        <f t="shared" si="33"/>
        <v>0</v>
      </c>
      <c r="N103" s="324">
        <f t="shared" si="34"/>
        <v>1064656.9863144383</v>
      </c>
      <c r="O103" s="54">
        <f t="shared" si="35"/>
        <v>0</v>
      </c>
      <c r="P103" s="54">
        <f t="shared" si="36"/>
        <v>0</v>
      </c>
    </row>
    <row r="104" spans="1:16" ht="12.5">
      <c r="B104" s="7" t="str">
        <f t="shared" si="29"/>
        <v>IU</v>
      </c>
      <c r="C104" s="50">
        <f>IF(D93="","-",+C103+1)</f>
        <v>2024</v>
      </c>
      <c r="D104" s="405">
        <v>7335835.8700000001</v>
      </c>
      <c r="E104" s="406">
        <v>214402</v>
      </c>
      <c r="F104" s="405">
        <v>7121433.8700000001</v>
      </c>
      <c r="G104" s="406">
        <v>7228634.8700000001</v>
      </c>
      <c r="H104" s="428">
        <v>1185342.9090455258</v>
      </c>
      <c r="I104" s="405">
        <v>1185342.9090455258</v>
      </c>
      <c r="J104" s="54">
        <f t="shared" si="28"/>
        <v>0</v>
      </c>
      <c r="K104" s="54"/>
      <c r="L104" s="324">
        <f t="shared" ref="L104" si="37">H104</f>
        <v>1185342.9090455258</v>
      </c>
      <c r="M104" s="63">
        <f t="shared" ref="M104" si="38">IF(L104&lt;&gt;0,+H104-L104,0)</f>
        <v>0</v>
      </c>
      <c r="N104" s="324">
        <f t="shared" ref="N104" si="39">I104</f>
        <v>1185342.9090455258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 ht="12.5">
      <c r="B105" s="7" t="str">
        <f t="shared" si="29"/>
        <v>IU</v>
      </c>
      <c r="C105" s="50">
        <f>IF(D93="","-",+C104+1)</f>
        <v>2025</v>
      </c>
      <c r="D105" s="12">
        <f>IF(F104+SUM(E$99:E104)=D$92,F104,D$92-SUM(E$99:E104))</f>
        <v>7121847</v>
      </c>
      <c r="E105" s="354">
        <f t="shared" ref="E105:E154" si="42">IF(+J$96&lt;F104,J$96,D105)</f>
        <v>220208</v>
      </c>
      <c r="F105" s="55">
        <f t="shared" ref="F105:F154" si="43">+D105-E105</f>
        <v>6901639</v>
      </c>
      <c r="G105" s="55">
        <f t="shared" ref="G105:G154" si="44">+(F105+D105)/2</f>
        <v>7011743</v>
      </c>
      <c r="H105" s="436">
        <f t="shared" ref="H105:H154" si="45">+J$94*G105+E105</f>
        <v>1162016.2729102627</v>
      </c>
      <c r="I105" s="437">
        <f t="shared" ref="I105:I154" si="46">+J$95*G105+E105</f>
        <v>1162016.2729102627</v>
      </c>
      <c r="J105" s="54">
        <f t="shared" si="28"/>
        <v>0</v>
      </c>
      <c r="K105" s="54"/>
      <c r="L105" s="115"/>
      <c r="M105" s="54">
        <f t="shared" ref="M105:M130" si="47">IF(L105&lt;&gt;0,+H105-L105,0)</f>
        <v>0</v>
      </c>
      <c r="N105" s="115"/>
      <c r="O105" s="54">
        <f t="shared" si="26"/>
        <v>0</v>
      </c>
      <c r="P105" s="54">
        <f t="shared" si="27"/>
        <v>0</v>
      </c>
    </row>
    <row r="106" spans="1:16" ht="12.5">
      <c r="B106" s="7" t="str">
        <f t="shared" si="29"/>
        <v/>
      </c>
      <c r="C106" s="50">
        <f>IF(D93="","-",+C105+1)</f>
        <v>2026</v>
      </c>
      <c r="D106" s="12">
        <f>IF(F105+SUM(E$99:E105)=D$92,F105,D$92-SUM(E$99:E105))</f>
        <v>6901639</v>
      </c>
      <c r="E106" s="354">
        <f t="shared" si="42"/>
        <v>220208</v>
      </c>
      <c r="F106" s="55">
        <f t="shared" si="43"/>
        <v>6681431</v>
      </c>
      <c r="G106" s="55">
        <f t="shared" si="44"/>
        <v>6791535</v>
      </c>
      <c r="H106" s="436">
        <f t="shared" si="45"/>
        <v>1132438.2184720119</v>
      </c>
      <c r="I106" s="437">
        <f t="shared" si="46"/>
        <v>1132438.2184720119</v>
      </c>
      <c r="J106" s="54">
        <f t="shared" si="28"/>
        <v>0</v>
      </c>
      <c r="K106" s="54"/>
      <c r="L106" s="115"/>
      <c r="M106" s="54">
        <f t="shared" si="47"/>
        <v>0</v>
      </c>
      <c r="N106" s="115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9"/>
        <v/>
      </c>
      <c r="C107" s="50">
        <f>IF(D93="","-",+C106+1)</f>
        <v>2027</v>
      </c>
      <c r="D107" s="12">
        <f>IF(F106+SUM(E$99:E106)=D$92,F106,D$92-SUM(E$99:E106))</f>
        <v>6681431</v>
      </c>
      <c r="E107" s="354">
        <f t="shared" si="42"/>
        <v>220208</v>
      </c>
      <c r="F107" s="55">
        <f t="shared" si="43"/>
        <v>6461223</v>
      </c>
      <c r="G107" s="55">
        <f t="shared" si="44"/>
        <v>6571327</v>
      </c>
      <c r="H107" s="436">
        <f t="shared" si="45"/>
        <v>1102860.1640337612</v>
      </c>
      <c r="I107" s="437">
        <f t="shared" si="46"/>
        <v>1102860.1640337612</v>
      </c>
      <c r="J107" s="54">
        <f t="shared" si="28"/>
        <v>0</v>
      </c>
      <c r="K107" s="54"/>
      <c r="L107" s="115"/>
      <c r="M107" s="54">
        <f t="shared" si="47"/>
        <v>0</v>
      </c>
      <c r="N107" s="115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9"/>
        <v/>
      </c>
      <c r="C108" s="50">
        <f>IF(D93="","-",+C107+1)</f>
        <v>2028</v>
      </c>
      <c r="D108" s="12">
        <f>IF(F107+SUM(E$99:E107)=D$92,F107,D$92-SUM(E$99:E107))</f>
        <v>6461223</v>
      </c>
      <c r="E108" s="354">
        <f t="shared" si="42"/>
        <v>220208</v>
      </c>
      <c r="F108" s="55">
        <f t="shared" si="43"/>
        <v>6241015</v>
      </c>
      <c r="G108" s="55">
        <f t="shared" si="44"/>
        <v>6351119</v>
      </c>
      <c r="H108" s="436">
        <f t="shared" si="45"/>
        <v>1073282.1095955106</v>
      </c>
      <c r="I108" s="437">
        <f t="shared" si="46"/>
        <v>1073282.1095955106</v>
      </c>
      <c r="J108" s="54">
        <f t="shared" si="28"/>
        <v>0</v>
      </c>
      <c r="K108" s="54"/>
      <c r="L108" s="115"/>
      <c r="M108" s="54">
        <f t="shared" si="47"/>
        <v>0</v>
      </c>
      <c r="N108" s="115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9"/>
        <v/>
      </c>
      <c r="C109" s="50">
        <f>IF(D93="","-",+C108+1)</f>
        <v>2029</v>
      </c>
      <c r="D109" s="12">
        <f>IF(F108+SUM(E$99:E108)=D$92,F108,D$92-SUM(E$99:E108))</f>
        <v>6241015</v>
      </c>
      <c r="E109" s="354">
        <f t="shared" si="42"/>
        <v>220208</v>
      </c>
      <c r="F109" s="55">
        <f t="shared" si="43"/>
        <v>6020807</v>
      </c>
      <c r="G109" s="55">
        <f t="shared" si="44"/>
        <v>6130911</v>
      </c>
      <c r="H109" s="436">
        <f t="shared" si="45"/>
        <v>1043704.0551572599</v>
      </c>
      <c r="I109" s="437">
        <f t="shared" si="46"/>
        <v>1043704.0551572599</v>
      </c>
      <c r="J109" s="54">
        <f t="shared" si="28"/>
        <v>0</v>
      </c>
      <c r="K109" s="54"/>
      <c r="L109" s="115"/>
      <c r="M109" s="54">
        <f t="shared" si="47"/>
        <v>0</v>
      </c>
      <c r="N109" s="115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9"/>
        <v/>
      </c>
      <c r="C110" s="50">
        <f>IF(D93="","-",+C109+1)</f>
        <v>2030</v>
      </c>
      <c r="D110" s="12">
        <f>IF(F109+SUM(E$99:E109)=D$92,F109,D$92-SUM(E$99:E109))</f>
        <v>6020807</v>
      </c>
      <c r="E110" s="354">
        <f t="shared" si="42"/>
        <v>220208</v>
      </c>
      <c r="F110" s="55">
        <f t="shared" si="43"/>
        <v>5800599</v>
      </c>
      <c r="G110" s="55">
        <f t="shared" si="44"/>
        <v>5910703</v>
      </c>
      <c r="H110" s="436">
        <f t="shared" si="45"/>
        <v>1014126.0007190093</v>
      </c>
      <c r="I110" s="437">
        <f t="shared" si="46"/>
        <v>1014126.0007190093</v>
      </c>
      <c r="J110" s="54">
        <f t="shared" si="28"/>
        <v>0</v>
      </c>
      <c r="K110" s="54"/>
      <c r="L110" s="115"/>
      <c r="M110" s="54">
        <f t="shared" si="47"/>
        <v>0</v>
      </c>
      <c r="N110" s="115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9"/>
        <v/>
      </c>
      <c r="C111" s="50">
        <f>IF(D93="","-",+C110+1)</f>
        <v>2031</v>
      </c>
      <c r="D111" s="12">
        <f>IF(F110+SUM(E$99:E110)=D$92,F110,D$92-SUM(E$99:E110))</f>
        <v>5800599</v>
      </c>
      <c r="E111" s="354">
        <f t="shared" si="42"/>
        <v>220208</v>
      </c>
      <c r="F111" s="55">
        <f t="shared" si="43"/>
        <v>5580391</v>
      </c>
      <c r="G111" s="55">
        <f t="shared" si="44"/>
        <v>5690495</v>
      </c>
      <c r="H111" s="436">
        <f t="shared" si="45"/>
        <v>984547.9462807586</v>
      </c>
      <c r="I111" s="437">
        <f t="shared" si="46"/>
        <v>984547.9462807586</v>
      </c>
      <c r="J111" s="54">
        <f t="shared" si="28"/>
        <v>0</v>
      </c>
      <c r="K111" s="54"/>
      <c r="L111" s="115"/>
      <c r="M111" s="54">
        <f t="shared" si="47"/>
        <v>0</v>
      </c>
      <c r="N111" s="115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9"/>
        <v/>
      </c>
      <c r="C112" s="50">
        <f>IF(D93="","-",+C111+1)</f>
        <v>2032</v>
      </c>
      <c r="D112" s="12">
        <f>IF(F111+SUM(E$99:E111)=D$92,F111,D$92-SUM(E$99:E111))</f>
        <v>5580391</v>
      </c>
      <c r="E112" s="354">
        <f t="shared" si="42"/>
        <v>220208</v>
      </c>
      <c r="F112" s="55">
        <f t="shared" si="43"/>
        <v>5360183</v>
      </c>
      <c r="G112" s="55">
        <f t="shared" si="44"/>
        <v>5470287</v>
      </c>
      <c r="H112" s="436">
        <f t="shared" si="45"/>
        <v>954969.89184250799</v>
      </c>
      <c r="I112" s="437">
        <f t="shared" si="46"/>
        <v>954969.89184250799</v>
      </c>
      <c r="J112" s="54">
        <f t="shared" si="28"/>
        <v>0</v>
      </c>
      <c r="K112" s="54"/>
      <c r="L112" s="115"/>
      <c r="M112" s="54">
        <f t="shared" si="47"/>
        <v>0</v>
      </c>
      <c r="N112" s="115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9"/>
        <v/>
      </c>
      <c r="C113" s="50">
        <f>IF(D93="","-",+C112+1)</f>
        <v>2033</v>
      </c>
      <c r="D113" s="12">
        <f>IF(F112+SUM(E$99:E112)=D$92,F112,D$92-SUM(E$99:E112))</f>
        <v>5360183</v>
      </c>
      <c r="E113" s="354">
        <f t="shared" si="42"/>
        <v>220208</v>
      </c>
      <c r="F113" s="55">
        <f t="shared" si="43"/>
        <v>5139975</v>
      </c>
      <c r="G113" s="55">
        <f t="shared" si="44"/>
        <v>5250079</v>
      </c>
      <c r="H113" s="436">
        <f t="shared" si="45"/>
        <v>925391.83740425727</v>
      </c>
      <c r="I113" s="437">
        <f t="shared" si="46"/>
        <v>925391.83740425727</v>
      </c>
      <c r="J113" s="54">
        <f t="shared" si="28"/>
        <v>0</v>
      </c>
      <c r="K113" s="54"/>
      <c r="L113" s="115"/>
      <c r="M113" s="54">
        <f t="shared" si="47"/>
        <v>0</v>
      </c>
      <c r="N113" s="115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9"/>
        <v/>
      </c>
      <c r="C114" s="50">
        <f>IF(D93="","-",+C113+1)</f>
        <v>2034</v>
      </c>
      <c r="D114" s="12">
        <f>IF(F113+SUM(E$99:E113)=D$92,F113,D$92-SUM(E$99:E113))</f>
        <v>5139975</v>
      </c>
      <c r="E114" s="354">
        <f t="shared" si="42"/>
        <v>220208</v>
      </c>
      <c r="F114" s="55">
        <f t="shared" si="43"/>
        <v>4919767</v>
      </c>
      <c r="G114" s="55">
        <f t="shared" si="44"/>
        <v>5029871</v>
      </c>
      <c r="H114" s="436">
        <f t="shared" si="45"/>
        <v>895813.78296600655</v>
      </c>
      <c r="I114" s="437">
        <f t="shared" si="46"/>
        <v>895813.78296600655</v>
      </c>
      <c r="J114" s="54">
        <f t="shared" si="28"/>
        <v>0</v>
      </c>
      <c r="K114" s="54"/>
      <c r="L114" s="115"/>
      <c r="M114" s="54">
        <f t="shared" si="47"/>
        <v>0</v>
      </c>
      <c r="N114" s="115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9"/>
        <v/>
      </c>
      <c r="C115" s="50">
        <f>IF(D93="","-",+C114+1)</f>
        <v>2035</v>
      </c>
      <c r="D115" s="12">
        <f>IF(F114+SUM(E$99:E114)=D$92,F114,D$92-SUM(E$99:E114))</f>
        <v>4919767</v>
      </c>
      <c r="E115" s="354">
        <f t="shared" si="42"/>
        <v>220208</v>
      </c>
      <c r="F115" s="55">
        <f t="shared" si="43"/>
        <v>4699559</v>
      </c>
      <c r="G115" s="55">
        <f t="shared" si="44"/>
        <v>4809663</v>
      </c>
      <c r="H115" s="436">
        <f t="shared" si="45"/>
        <v>866235.72852775594</v>
      </c>
      <c r="I115" s="437">
        <f t="shared" si="46"/>
        <v>866235.72852775594</v>
      </c>
      <c r="J115" s="54">
        <f t="shared" si="28"/>
        <v>0</v>
      </c>
      <c r="K115" s="54"/>
      <c r="L115" s="115"/>
      <c r="M115" s="54">
        <f t="shared" si="47"/>
        <v>0</v>
      </c>
      <c r="N115" s="115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9"/>
        <v/>
      </c>
      <c r="C116" s="50">
        <f>IF(D93="","-",+C115+1)</f>
        <v>2036</v>
      </c>
      <c r="D116" s="12">
        <f>IF(F115+SUM(E$99:E115)=D$92,F115,D$92-SUM(E$99:E115))</f>
        <v>4699559</v>
      </c>
      <c r="E116" s="354">
        <f t="shared" si="42"/>
        <v>220208</v>
      </c>
      <c r="F116" s="55">
        <f t="shared" si="43"/>
        <v>4479351</v>
      </c>
      <c r="G116" s="55">
        <f t="shared" si="44"/>
        <v>4589455</v>
      </c>
      <c r="H116" s="436">
        <f t="shared" si="45"/>
        <v>836657.67408950522</v>
      </c>
      <c r="I116" s="437">
        <f t="shared" si="46"/>
        <v>836657.67408950522</v>
      </c>
      <c r="J116" s="54">
        <f t="shared" si="28"/>
        <v>0</v>
      </c>
      <c r="K116" s="54"/>
      <c r="L116" s="115"/>
      <c r="M116" s="54">
        <f t="shared" si="47"/>
        <v>0</v>
      </c>
      <c r="N116" s="115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9"/>
        <v/>
      </c>
      <c r="C117" s="50">
        <f>IF(D93="","-",+C116+1)</f>
        <v>2037</v>
      </c>
      <c r="D117" s="12">
        <f>IF(F116+SUM(E$99:E116)=D$92,F116,D$92-SUM(E$99:E116))</f>
        <v>4479351</v>
      </c>
      <c r="E117" s="354">
        <f t="shared" si="42"/>
        <v>220208</v>
      </c>
      <c r="F117" s="55">
        <f t="shared" si="43"/>
        <v>4259143</v>
      </c>
      <c r="G117" s="55">
        <f t="shared" si="44"/>
        <v>4369247</v>
      </c>
      <c r="H117" s="436">
        <f t="shared" si="45"/>
        <v>807079.6196512545</v>
      </c>
      <c r="I117" s="437">
        <f t="shared" si="46"/>
        <v>807079.6196512545</v>
      </c>
      <c r="J117" s="54">
        <f t="shared" si="28"/>
        <v>0</v>
      </c>
      <c r="K117" s="54"/>
      <c r="L117" s="115"/>
      <c r="M117" s="54">
        <f t="shared" si="47"/>
        <v>0</v>
      </c>
      <c r="N117" s="115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9"/>
        <v/>
      </c>
      <c r="C118" s="50">
        <f>IF(D93="","-",+C117+1)</f>
        <v>2038</v>
      </c>
      <c r="D118" s="12">
        <f>IF(F117+SUM(E$99:E117)=D$92,F117,D$92-SUM(E$99:E117))</f>
        <v>4259143</v>
      </c>
      <c r="E118" s="354">
        <f t="shared" si="42"/>
        <v>220208</v>
      </c>
      <c r="F118" s="55">
        <f t="shared" si="43"/>
        <v>4038935</v>
      </c>
      <c r="G118" s="55">
        <f t="shared" si="44"/>
        <v>4149039</v>
      </c>
      <c r="H118" s="436">
        <f t="shared" si="45"/>
        <v>777501.56521300389</v>
      </c>
      <c r="I118" s="437">
        <f t="shared" si="46"/>
        <v>777501.56521300389</v>
      </c>
      <c r="J118" s="54">
        <f t="shared" si="28"/>
        <v>0</v>
      </c>
      <c r="K118" s="54"/>
      <c r="L118" s="115"/>
      <c r="M118" s="54">
        <f t="shared" si="47"/>
        <v>0</v>
      </c>
      <c r="N118" s="115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9"/>
        <v/>
      </c>
      <c r="C119" s="50">
        <f>IF(D93="","-",+C118+1)</f>
        <v>2039</v>
      </c>
      <c r="D119" s="12">
        <f>IF(F118+SUM(E$99:E118)=D$92,F118,D$92-SUM(E$99:E118))</f>
        <v>4038935</v>
      </c>
      <c r="E119" s="354">
        <f t="shared" si="42"/>
        <v>220208</v>
      </c>
      <c r="F119" s="55">
        <f t="shared" si="43"/>
        <v>3818727</v>
      </c>
      <c r="G119" s="55">
        <f t="shared" si="44"/>
        <v>3928831</v>
      </c>
      <c r="H119" s="436">
        <f t="shared" si="45"/>
        <v>747923.51077475317</v>
      </c>
      <c r="I119" s="437">
        <f t="shared" si="46"/>
        <v>747923.51077475317</v>
      </c>
      <c r="J119" s="54">
        <f t="shared" si="28"/>
        <v>0</v>
      </c>
      <c r="K119" s="54"/>
      <c r="L119" s="115"/>
      <c r="M119" s="54">
        <f t="shared" si="47"/>
        <v>0</v>
      </c>
      <c r="N119" s="115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9"/>
        <v/>
      </c>
      <c r="C120" s="50">
        <f>IF(D93="","-",+C119+1)</f>
        <v>2040</v>
      </c>
      <c r="D120" s="12">
        <f>IF(F119+SUM(E$99:E119)=D$92,F119,D$92-SUM(E$99:E119))</f>
        <v>3818727</v>
      </c>
      <c r="E120" s="354">
        <f t="shared" si="42"/>
        <v>220208</v>
      </c>
      <c r="F120" s="55">
        <f t="shared" si="43"/>
        <v>3598519</v>
      </c>
      <c r="G120" s="55">
        <f t="shared" si="44"/>
        <v>3708623</v>
      </c>
      <c r="H120" s="436">
        <f t="shared" si="45"/>
        <v>718345.45633650245</v>
      </c>
      <c r="I120" s="437">
        <f t="shared" si="46"/>
        <v>718345.45633650245</v>
      </c>
      <c r="J120" s="54">
        <f t="shared" si="28"/>
        <v>0</v>
      </c>
      <c r="K120" s="54"/>
      <c r="L120" s="115"/>
      <c r="M120" s="54">
        <f t="shared" si="47"/>
        <v>0</v>
      </c>
      <c r="N120" s="115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9"/>
        <v/>
      </c>
      <c r="C121" s="50">
        <f>IF(D93="","-",+C120+1)</f>
        <v>2041</v>
      </c>
      <c r="D121" s="12">
        <f>IF(F120+SUM(E$99:E120)=D$92,F120,D$92-SUM(E$99:E120))</f>
        <v>3598519</v>
      </c>
      <c r="E121" s="354">
        <f t="shared" si="42"/>
        <v>220208</v>
      </c>
      <c r="F121" s="55">
        <f t="shared" si="43"/>
        <v>3378311</v>
      </c>
      <c r="G121" s="55">
        <f t="shared" si="44"/>
        <v>3488415</v>
      </c>
      <c r="H121" s="436">
        <f t="shared" si="45"/>
        <v>688767.40189825185</v>
      </c>
      <c r="I121" s="437">
        <f t="shared" si="46"/>
        <v>688767.40189825185</v>
      </c>
      <c r="J121" s="54">
        <f t="shared" si="28"/>
        <v>0</v>
      </c>
      <c r="K121" s="54"/>
      <c r="L121" s="115"/>
      <c r="M121" s="54">
        <f t="shared" si="47"/>
        <v>0</v>
      </c>
      <c r="N121" s="115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9"/>
        <v/>
      </c>
      <c r="C122" s="50">
        <f>IF(D93="","-",+C121+1)</f>
        <v>2042</v>
      </c>
      <c r="D122" s="12">
        <f>IF(F121+SUM(E$99:E121)=D$92,F121,D$92-SUM(E$99:E121))</f>
        <v>3378311</v>
      </c>
      <c r="E122" s="354">
        <f t="shared" si="42"/>
        <v>220208</v>
      </c>
      <c r="F122" s="55">
        <f t="shared" si="43"/>
        <v>3158103</v>
      </c>
      <c r="G122" s="55">
        <f t="shared" si="44"/>
        <v>3268207</v>
      </c>
      <c r="H122" s="436">
        <f t="shared" si="45"/>
        <v>659189.34746000113</v>
      </c>
      <c r="I122" s="437">
        <f t="shared" si="46"/>
        <v>659189.34746000113</v>
      </c>
      <c r="J122" s="54">
        <f t="shared" si="28"/>
        <v>0</v>
      </c>
      <c r="K122" s="54"/>
      <c r="L122" s="115"/>
      <c r="M122" s="54">
        <f t="shared" si="47"/>
        <v>0</v>
      </c>
      <c r="N122" s="115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9"/>
        <v/>
      </c>
      <c r="C123" s="50">
        <f>IF(D93="","-",+C122+1)</f>
        <v>2043</v>
      </c>
      <c r="D123" s="12">
        <f>IF(F122+SUM(E$99:E122)=D$92,F122,D$92-SUM(E$99:E122))</f>
        <v>3158103</v>
      </c>
      <c r="E123" s="354">
        <f t="shared" si="42"/>
        <v>220208</v>
      </c>
      <c r="F123" s="55">
        <f t="shared" si="43"/>
        <v>2937895</v>
      </c>
      <c r="G123" s="55">
        <f t="shared" si="44"/>
        <v>3047999</v>
      </c>
      <c r="H123" s="436">
        <f t="shared" si="45"/>
        <v>629611.2930217504</v>
      </c>
      <c r="I123" s="437">
        <f t="shared" si="46"/>
        <v>629611.2930217504</v>
      </c>
      <c r="J123" s="54">
        <f t="shared" si="28"/>
        <v>0</v>
      </c>
      <c r="K123" s="54"/>
      <c r="L123" s="115"/>
      <c r="M123" s="54">
        <f t="shared" si="47"/>
        <v>0</v>
      </c>
      <c r="N123" s="115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9"/>
        <v/>
      </c>
      <c r="C124" s="50">
        <f>IF(D93="","-",+C123+1)</f>
        <v>2044</v>
      </c>
      <c r="D124" s="12">
        <f>IF(F123+SUM(E$99:E123)=D$92,F123,D$92-SUM(E$99:E123))</f>
        <v>2937895</v>
      </c>
      <c r="E124" s="354">
        <f t="shared" si="42"/>
        <v>220208</v>
      </c>
      <c r="F124" s="55">
        <f t="shared" si="43"/>
        <v>2717687</v>
      </c>
      <c r="G124" s="55">
        <f t="shared" si="44"/>
        <v>2827791</v>
      </c>
      <c r="H124" s="436">
        <f t="shared" si="45"/>
        <v>600033.2385834998</v>
      </c>
      <c r="I124" s="437">
        <f t="shared" si="46"/>
        <v>600033.2385834998</v>
      </c>
      <c r="J124" s="54">
        <f t="shared" si="28"/>
        <v>0</v>
      </c>
      <c r="K124" s="54"/>
      <c r="L124" s="115"/>
      <c r="M124" s="54">
        <f t="shared" si="47"/>
        <v>0</v>
      </c>
      <c r="N124" s="115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9"/>
        <v/>
      </c>
      <c r="C125" s="50">
        <f>IF(D93="","-",+C124+1)</f>
        <v>2045</v>
      </c>
      <c r="D125" s="12">
        <f>IF(F124+SUM(E$99:E124)=D$92,F124,D$92-SUM(E$99:E124))</f>
        <v>2717687</v>
      </c>
      <c r="E125" s="354">
        <f t="shared" si="42"/>
        <v>220208</v>
      </c>
      <c r="F125" s="55">
        <f t="shared" si="43"/>
        <v>2497479</v>
      </c>
      <c r="G125" s="55">
        <f t="shared" si="44"/>
        <v>2607583</v>
      </c>
      <c r="H125" s="436">
        <f t="shared" si="45"/>
        <v>570455.18414524919</v>
      </c>
      <c r="I125" s="437">
        <f t="shared" si="46"/>
        <v>570455.18414524919</v>
      </c>
      <c r="J125" s="54">
        <f t="shared" si="28"/>
        <v>0</v>
      </c>
      <c r="K125" s="54"/>
      <c r="L125" s="115"/>
      <c r="M125" s="54">
        <f t="shared" si="47"/>
        <v>0</v>
      </c>
      <c r="N125" s="115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9"/>
        <v/>
      </c>
      <c r="C126" s="50">
        <f>IF(D93="","-",+C125+1)</f>
        <v>2046</v>
      </c>
      <c r="D126" s="12">
        <f>IF(F125+SUM(E$99:E125)=D$92,F125,D$92-SUM(E$99:E125))</f>
        <v>2497479</v>
      </c>
      <c r="E126" s="354">
        <f t="shared" si="42"/>
        <v>220208</v>
      </c>
      <c r="F126" s="55">
        <f t="shared" si="43"/>
        <v>2277271</v>
      </c>
      <c r="G126" s="55">
        <f t="shared" si="44"/>
        <v>2387375</v>
      </c>
      <c r="H126" s="436">
        <f t="shared" si="45"/>
        <v>540877.12970699836</v>
      </c>
      <c r="I126" s="437">
        <f t="shared" si="46"/>
        <v>540877.12970699836</v>
      </c>
      <c r="J126" s="54">
        <f t="shared" si="28"/>
        <v>0</v>
      </c>
      <c r="K126" s="54"/>
      <c r="L126" s="115"/>
      <c r="M126" s="54">
        <f t="shared" si="47"/>
        <v>0</v>
      </c>
      <c r="N126" s="115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9"/>
        <v/>
      </c>
      <c r="C127" s="50">
        <f>IF(D93="","-",+C126+1)</f>
        <v>2047</v>
      </c>
      <c r="D127" s="12">
        <f>IF(F126+SUM(E$99:E126)=D$92,F126,D$92-SUM(E$99:E126))</f>
        <v>2277271</v>
      </c>
      <c r="E127" s="354">
        <f t="shared" si="42"/>
        <v>220208</v>
      </c>
      <c r="F127" s="55">
        <f t="shared" si="43"/>
        <v>2057063</v>
      </c>
      <c r="G127" s="55">
        <f t="shared" si="44"/>
        <v>2167167</v>
      </c>
      <c r="H127" s="436">
        <f t="shared" si="45"/>
        <v>511299.07526874775</v>
      </c>
      <c r="I127" s="437">
        <f t="shared" si="46"/>
        <v>511299.07526874775</v>
      </c>
      <c r="J127" s="54">
        <f t="shared" si="28"/>
        <v>0</v>
      </c>
      <c r="K127" s="54"/>
      <c r="L127" s="115"/>
      <c r="M127" s="54">
        <f t="shared" si="47"/>
        <v>0</v>
      </c>
      <c r="N127" s="115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9"/>
        <v/>
      </c>
      <c r="C128" s="50">
        <f>IF(D93="","-",+C127+1)</f>
        <v>2048</v>
      </c>
      <c r="D128" s="12">
        <f>IF(F127+SUM(E$99:E127)=D$92,F127,D$92-SUM(E$99:E127))</f>
        <v>2057063</v>
      </c>
      <c r="E128" s="354">
        <f t="shared" si="42"/>
        <v>220208</v>
      </c>
      <c r="F128" s="55">
        <f t="shared" si="43"/>
        <v>1836855</v>
      </c>
      <c r="G128" s="55">
        <f t="shared" si="44"/>
        <v>1946959</v>
      </c>
      <c r="H128" s="436">
        <f t="shared" si="45"/>
        <v>481721.02083049709</v>
      </c>
      <c r="I128" s="437">
        <f t="shared" si="46"/>
        <v>481721.02083049709</v>
      </c>
      <c r="J128" s="54">
        <f t="shared" si="28"/>
        <v>0</v>
      </c>
      <c r="K128" s="54"/>
      <c r="L128" s="115"/>
      <c r="M128" s="54">
        <f t="shared" si="47"/>
        <v>0</v>
      </c>
      <c r="N128" s="115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9"/>
        <v/>
      </c>
      <c r="C129" s="50">
        <f>IF(D93="","-",+C128+1)</f>
        <v>2049</v>
      </c>
      <c r="D129" s="12">
        <f>IF(F128+SUM(E$99:E128)=D$92,F128,D$92-SUM(E$99:E128))</f>
        <v>1836855</v>
      </c>
      <c r="E129" s="354">
        <f t="shared" si="42"/>
        <v>220208</v>
      </c>
      <c r="F129" s="55">
        <f t="shared" si="43"/>
        <v>1616647</v>
      </c>
      <c r="G129" s="55">
        <f t="shared" si="44"/>
        <v>1726751</v>
      </c>
      <c r="H129" s="436">
        <f t="shared" si="45"/>
        <v>452142.96639224642</v>
      </c>
      <c r="I129" s="437">
        <f t="shared" si="46"/>
        <v>452142.96639224642</v>
      </c>
      <c r="J129" s="54">
        <f t="shared" si="28"/>
        <v>0</v>
      </c>
      <c r="K129" s="54"/>
      <c r="L129" s="115"/>
      <c r="M129" s="54">
        <f t="shared" si="47"/>
        <v>0</v>
      </c>
      <c r="N129" s="115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9"/>
        <v/>
      </c>
      <c r="C130" s="50">
        <f>IF(D93="","-",+C129+1)</f>
        <v>2050</v>
      </c>
      <c r="D130" s="12">
        <f>IF(F129+SUM(E$99:E129)=D$92,F129,D$92-SUM(E$99:E129))</f>
        <v>1616647</v>
      </c>
      <c r="E130" s="354">
        <f t="shared" si="42"/>
        <v>220208</v>
      </c>
      <c r="F130" s="55">
        <f t="shared" si="43"/>
        <v>1396439</v>
      </c>
      <c r="G130" s="55">
        <f t="shared" si="44"/>
        <v>1506543</v>
      </c>
      <c r="H130" s="436">
        <f t="shared" si="45"/>
        <v>422564.9119539957</v>
      </c>
      <c r="I130" s="437">
        <f t="shared" si="46"/>
        <v>422564.9119539957</v>
      </c>
      <c r="J130" s="54">
        <f t="shared" si="28"/>
        <v>0</v>
      </c>
      <c r="K130" s="54"/>
      <c r="L130" s="115"/>
      <c r="M130" s="54">
        <f t="shared" si="47"/>
        <v>0</v>
      </c>
      <c r="N130" s="115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9"/>
        <v/>
      </c>
      <c r="C131" s="50">
        <f>IF(D93="","-",+C130+1)</f>
        <v>2051</v>
      </c>
      <c r="D131" s="12">
        <f>IF(F130+SUM(E$99:E130)=D$92,F130,D$92-SUM(E$99:E130))</f>
        <v>1396439</v>
      </c>
      <c r="E131" s="354">
        <f t="shared" si="42"/>
        <v>220208</v>
      </c>
      <c r="F131" s="55">
        <f t="shared" si="43"/>
        <v>1176231</v>
      </c>
      <c r="G131" s="55">
        <f t="shared" si="44"/>
        <v>1286335</v>
      </c>
      <c r="H131" s="436">
        <f t="shared" si="45"/>
        <v>392986.85751574504</v>
      </c>
      <c r="I131" s="437">
        <f t="shared" si="46"/>
        <v>392986.85751574504</v>
      </c>
      <c r="J131" s="54">
        <f t="shared" ref="J131:J154" si="48">+I540-H540</f>
        <v>0</v>
      </c>
      <c r="K131" s="54"/>
      <c r="L131" s="115"/>
      <c r="M131" s="54">
        <f t="shared" ref="M131:M154" si="49">IF(L540&lt;&gt;0,+H540-L540,0)</f>
        <v>0</v>
      </c>
      <c r="N131" s="115"/>
      <c r="O131" s="54">
        <f t="shared" ref="O131:O154" si="50">IF(N540&lt;&gt;0,+I540-N540,0)</f>
        <v>0</v>
      </c>
      <c r="P131" s="54">
        <f t="shared" ref="P131:P154" si="51">+O540-M540</f>
        <v>0</v>
      </c>
    </row>
    <row r="132" spans="2:16" ht="12.5">
      <c r="B132" s="7" t="str">
        <f t="shared" si="29"/>
        <v/>
      </c>
      <c r="C132" s="50">
        <f>IF(D93="","-",+C131+1)</f>
        <v>2052</v>
      </c>
      <c r="D132" s="12">
        <f>IF(F131+SUM(E$99:E131)=D$92,F131,D$92-SUM(E$99:E131))</f>
        <v>1176231</v>
      </c>
      <c r="E132" s="354">
        <f t="shared" si="42"/>
        <v>220208</v>
      </c>
      <c r="F132" s="55">
        <f t="shared" si="43"/>
        <v>956023</v>
      </c>
      <c r="G132" s="55">
        <f t="shared" si="44"/>
        <v>1066127</v>
      </c>
      <c r="H132" s="436">
        <f t="shared" si="45"/>
        <v>363408.80307749438</v>
      </c>
      <c r="I132" s="437">
        <f t="shared" si="46"/>
        <v>363408.80307749438</v>
      </c>
      <c r="J132" s="54">
        <f t="shared" si="48"/>
        <v>0</v>
      </c>
      <c r="K132" s="54"/>
      <c r="L132" s="115"/>
      <c r="M132" s="54">
        <f t="shared" si="49"/>
        <v>0</v>
      </c>
      <c r="N132" s="115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29"/>
        <v/>
      </c>
      <c r="C133" s="50">
        <f>IF(D93="","-",+C132+1)</f>
        <v>2053</v>
      </c>
      <c r="D133" s="12">
        <f>IF(F132+SUM(E$99:E132)=D$92,F132,D$92-SUM(E$99:E132))</f>
        <v>956023</v>
      </c>
      <c r="E133" s="354">
        <f t="shared" si="42"/>
        <v>220208</v>
      </c>
      <c r="F133" s="55">
        <f t="shared" si="43"/>
        <v>735815</v>
      </c>
      <c r="G133" s="55">
        <f t="shared" si="44"/>
        <v>845919</v>
      </c>
      <c r="H133" s="436">
        <f t="shared" si="45"/>
        <v>333830.74863924371</v>
      </c>
      <c r="I133" s="437">
        <f t="shared" si="46"/>
        <v>333830.74863924371</v>
      </c>
      <c r="J133" s="54">
        <f t="shared" si="48"/>
        <v>0</v>
      </c>
      <c r="K133" s="54"/>
      <c r="L133" s="115"/>
      <c r="M133" s="54">
        <f t="shared" si="49"/>
        <v>0</v>
      </c>
      <c r="N133" s="115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29"/>
        <v/>
      </c>
      <c r="C134" s="50">
        <f>IF(D93="","-",+C133+1)</f>
        <v>2054</v>
      </c>
      <c r="D134" s="12">
        <f>IF(F133+SUM(E$99:E133)=D$92,F133,D$92-SUM(E$99:E133))</f>
        <v>735815</v>
      </c>
      <c r="E134" s="354">
        <f t="shared" si="42"/>
        <v>220208</v>
      </c>
      <c r="F134" s="55">
        <f t="shared" si="43"/>
        <v>515607</v>
      </c>
      <c r="G134" s="55">
        <f t="shared" si="44"/>
        <v>625711</v>
      </c>
      <c r="H134" s="436">
        <f t="shared" si="45"/>
        <v>304252.69420099305</v>
      </c>
      <c r="I134" s="437">
        <f t="shared" si="46"/>
        <v>304252.69420099305</v>
      </c>
      <c r="J134" s="54">
        <f t="shared" si="48"/>
        <v>0</v>
      </c>
      <c r="K134" s="54"/>
      <c r="L134" s="115"/>
      <c r="M134" s="54">
        <f t="shared" si="49"/>
        <v>0</v>
      </c>
      <c r="N134" s="115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29"/>
        <v/>
      </c>
      <c r="C135" s="50">
        <f>IF(D93="","-",+C134+1)</f>
        <v>2055</v>
      </c>
      <c r="D135" s="12">
        <f>IF(F134+SUM(E$99:E134)=D$92,F134,D$92-SUM(E$99:E134))</f>
        <v>515607</v>
      </c>
      <c r="E135" s="354">
        <f t="shared" si="42"/>
        <v>220208</v>
      </c>
      <c r="F135" s="55">
        <f t="shared" si="43"/>
        <v>295399</v>
      </c>
      <c r="G135" s="55">
        <f t="shared" si="44"/>
        <v>405503</v>
      </c>
      <c r="H135" s="436">
        <f t="shared" si="45"/>
        <v>274674.63976274233</v>
      </c>
      <c r="I135" s="437">
        <f t="shared" si="46"/>
        <v>274674.63976274233</v>
      </c>
      <c r="J135" s="54">
        <f t="shared" si="48"/>
        <v>0</v>
      </c>
      <c r="K135" s="54"/>
      <c r="L135" s="115"/>
      <c r="M135" s="54">
        <f t="shared" si="49"/>
        <v>0</v>
      </c>
      <c r="N135" s="115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29"/>
        <v/>
      </c>
      <c r="C136" s="50">
        <f>IF(D93="","-",+C135+1)</f>
        <v>2056</v>
      </c>
      <c r="D136" s="12">
        <f>IF(F135+SUM(E$99:E135)=D$92,F135,D$92-SUM(E$99:E135))</f>
        <v>295399</v>
      </c>
      <c r="E136" s="354">
        <f t="shared" si="42"/>
        <v>220208</v>
      </c>
      <c r="F136" s="55">
        <f t="shared" si="43"/>
        <v>75191</v>
      </c>
      <c r="G136" s="55">
        <f t="shared" si="44"/>
        <v>185295</v>
      </c>
      <c r="H136" s="436">
        <f t="shared" si="45"/>
        <v>245096.58532449167</v>
      </c>
      <c r="I136" s="437">
        <f t="shared" si="46"/>
        <v>245096.58532449167</v>
      </c>
      <c r="J136" s="54">
        <f t="shared" si="48"/>
        <v>0</v>
      </c>
      <c r="K136" s="54"/>
      <c r="L136" s="115"/>
      <c r="M136" s="54">
        <f t="shared" si="49"/>
        <v>0</v>
      </c>
      <c r="N136" s="115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29"/>
        <v/>
      </c>
      <c r="C137" s="50">
        <f>IF(D93="","-",+C136+1)</f>
        <v>2057</v>
      </c>
      <c r="D137" s="12">
        <f>IF(F136+SUM(E$99:E136)=D$92,F136,D$92-SUM(E$99:E136))</f>
        <v>75191</v>
      </c>
      <c r="E137" s="354">
        <f t="shared" si="42"/>
        <v>75191</v>
      </c>
      <c r="F137" s="55">
        <f t="shared" si="43"/>
        <v>0</v>
      </c>
      <c r="G137" s="55">
        <f t="shared" si="44"/>
        <v>37595.5</v>
      </c>
      <c r="H137" s="436">
        <f t="shared" si="45"/>
        <v>80240.779052683167</v>
      </c>
      <c r="I137" s="437">
        <f t="shared" si="46"/>
        <v>80240.779052683167</v>
      </c>
      <c r="J137" s="54">
        <f t="shared" si="48"/>
        <v>0</v>
      </c>
      <c r="K137" s="54"/>
      <c r="L137" s="115"/>
      <c r="M137" s="54">
        <f t="shared" si="49"/>
        <v>0</v>
      </c>
      <c r="N137" s="115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29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42"/>
        <v>0</v>
      </c>
      <c r="F138" s="55">
        <f t="shared" si="43"/>
        <v>0</v>
      </c>
      <c r="G138" s="55">
        <f t="shared" si="44"/>
        <v>0</v>
      </c>
      <c r="H138" s="436">
        <f t="shared" si="45"/>
        <v>0</v>
      </c>
      <c r="I138" s="437">
        <f t="shared" si="46"/>
        <v>0</v>
      </c>
      <c r="J138" s="54">
        <f t="shared" si="48"/>
        <v>0</v>
      </c>
      <c r="K138" s="54"/>
      <c r="L138" s="115"/>
      <c r="M138" s="54">
        <f t="shared" si="49"/>
        <v>0</v>
      </c>
      <c r="N138" s="115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29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42"/>
        <v>0</v>
      </c>
      <c r="F139" s="55">
        <f t="shared" si="43"/>
        <v>0</v>
      </c>
      <c r="G139" s="55">
        <f t="shared" si="44"/>
        <v>0</v>
      </c>
      <c r="H139" s="436">
        <f t="shared" si="45"/>
        <v>0</v>
      </c>
      <c r="I139" s="437">
        <f t="shared" si="46"/>
        <v>0</v>
      </c>
      <c r="J139" s="54">
        <f t="shared" si="48"/>
        <v>0</v>
      </c>
      <c r="K139" s="54"/>
      <c r="L139" s="115"/>
      <c r="M139" s="54">
        <f t="shared" si="49"/>
        <v>0</v>
      </c>
      <c r="N139" s="115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29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42"/>
        <v>0</v>
      </c>
      <c r="F140" s="55">
        <f t="shared" si="43"/>
        <v>0</v>
      </c>
      <c r="G140" s="55">
        <f t="shared" si="44"/>
        <v>0</v>
      </c>
      <c r="H140" s="436">
        <f t="shared" si="45"/>
        <v>0</v>
      </c>
      <c r="I140" s="437">
        <f t="shared" si="46"/>
        <v>0</v>
      </c>
      <c r="J140" s="54">
        <f t="shared" si="48"/>
        <v>0</v>
      </c>
      <c r="K140" s="54"/>
      <c r="L140" s="115"/>
      <c r="M140" s="54">
        <f t="shared" si="49"/>
        <v>0</v>
      </c>
      <c r="N140" s="115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29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42"/>
        <v>0</v>
      </c>
      <c r="F141" s="55">
        <f t="shared" si="43"/>
        <v>0</v>
      </c>
      <c r="G141" s="55">
        <f t="shared" si="44"/>
        <v>0</v>
      </c>
      <c r="H141" s="436">
        <f t="shared" si="45"/>
        <v>0</v>
      </c>
      <c r="I141" s="437">
        <f t="shared" si="46"/>
        <v>0</v>
      </c>
      <c r="J141" s="54">
        <f t="shared" si="48"/>
        <v>0</v>
      </c>
      <c r="K141" s="54"/>
      <c r="L141" s="115"/>
      <c r="M141" s="54">
        <f t="shared" si="49"/>
        <v>0</v>
      </c>
      <c r="N141" s="115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29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42"/>
        <v>0</v>
      </c>
      <c r="F142" s="55">
        <f t="shared" si="43"/>
        <v>0</v>
      </c>
      <c r="G142" s="55">
        <f t="shared" si="44"/>
        <v>0</v>
      </c>
      <c r="H142" s="436">
        <f t="shared" si="45"/>
        <v>0</v>
      </c>
      <c r="I142" s="437">
        <f t="shared" si="46"/>
        <v>0</v>
      </c>
      <c r="J142" s="54">
        <f t="shared" si="48"/>
        <v>0</v>
      </c>
      <c r="K142" s="54"/>
      <c r="L142" s="115"/>
      <c r="M142" s="54">
        <f t="shared" si="49"/>
        <v>0</v>
      </c>
      <c r="N142" s="115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29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42"/>
        <v>0</v>
      </c>
      <c r="F143" s="55">
        <f t="shared" si="43"/>
        <v>0</v>
      </c>
      <c r="G143" s="55">
        <f t="shared" si="44"/>
        <v>0</v>
      </c>
      <c r="H143" s="436">
        <f t="shared" si="45"/>
        <v>0</v>
      </c>
      <c r="I143" s="437">
        <f t="shared" si="46"/>
        <v>0</v>
      </c>
      <c r="J143" s="54">
        <f t="shared" si="48"/>
        <v>0</v>
      </c>
      <c r="K143" s="54"/>
      <c r="L143" s="115"/>
      <c r="M143" s="54">
        <f t="shared" si="49"/>
        <v>0</v>
      </c>
      <c r="N143" s="115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29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42"/>
        <v>0</v>
      </c>
      <c r="F144" s="55">
        <f t="shared" si="43"/>
        <v>0</v>
      </c>
      <c r="G144" s="55">
        <f t="shared" si="44"/>
        <v>0</v>
      </c>
      <c r="H144" s="436">
        <f t="shared" si="45"/>
        <v>0</v>
      </c>
      <c r="I144" s="437">
        <f t="shared" si="46"/>
        <v>0</v>
      </c>
      <c r="J144" s="54">
        <f t="shared" si="48"/>
        <v>0</v>
      </c>
      <c r="K144" s="54"/>
      <c r="L144" s="115"/>
      <c r="M144" s="54">
        <f t="shared" si="49"/>
        <v>0</v>
      </c>
      <c r="N144" s="115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29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42"/>
        <v>0</v>
      </c>
      <c r="F145" s="55">
        <f t="shared" si="43"/>
        <v>0</v>
      </c>
      <c r="G145" s="55">
        <f t="shared" si="44"/>
        <v>0</v>
      </c>
      <c r="H145" s="436">
        <f t="shared" si="45"/>
        <v>0</v>
      </c>
      <c r="I145" s="437">
        <f t="shared" si="46"/>
        <v>0</v>
      </c>
      <c r="J145" s="54">
        <f t="shared" si="48"/>
        <v>0</v>
      </c>
      <c r="K145" s="54"/>
      <c r="L145" s="115"/>
      <c r="M145" s="54">
        <f t="shared" si="49"/>
        <v>0</v>
      </c>
      <c r="N145" s="115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29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42"/>
        <v>0</v>
      </c>
      <c r="F146" s="55">
        <f t="shared" si="43"/>
        <v>0</v>
      </c>
      <c r="G146" s="55">
        <f t="shared" si="44"/>
        <v>0</v>
      </c>
      <c r="H146" s="436">
        <f t="shared" si="45"/>
        <v>0</v>
      </c>
      <c r="I146" s="437">
        <f t="shared" si="46"/>
        <v>0</v>
      </c>
      <c r="J146" s="54">
        <f t="shared" si="48"/>
        <v>0</v>
      </c>
      <c r="K146" s="54"/>
      <c r="L146" s="115"/>
      <c r="M146" s="54">
        <f t="shared" si="49"/>
        <v>0</v>
      </c>
      <c r="N146" s="115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29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42"/>
        <v>0</v>
      </c>
      <c r="F147" s="55">
        <f t="shared" si="43"/>
        <v>0</v>
      </c>
      <c r="G147" s="55">
        <f t="shared" si="44"/>
        <v>0</v>
      </c>
      <c r="H147" s="436">
        <f t="shared" si="45"/>
        <v>0</v>
      </c>
      <c r="I147" s="437">
        <f t="shared" si="46"/>
        <v>0</v>
      </c>
      <c r="J147" s="54">
        <f t="shared" si="48"/>
        <v>0</v>
      </c>
      <c r="K147" s="54"/>
      <c r="L147" s="115"/>
      <c r="M147" s="54">
        <f t="shared" si="49"/>
        <v>0</v>
      </c>
      <c r="N147" s="115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29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42"/>
        <v>0</v>
      </c>
      <c r="F148" s="55">
        <f t="shared" si="43"/>
        <v>0</v>
      </c>
      <c r="G148" s="55">
        <f t="shared" si="44"/>
        <v>0</v>
      </c>
      <c r="H148" s="436">
        <f t="shared" si="45"/>
        <v>0</v>
      </c>
      <c r="I148" s="437">
        <f t="shared" si="46"/>
        <v>0</v>
      </c>
      <c r="J148" s="54">
        <f t="shared" si="48"/>
        <v>0</v>
      </c>
      <c r="K148" s="54"/>
      <c r="L148" s="115"/>
      <c r="M148" s="54">
        <f t="shared" si="49"/>
        <v>0</v>
      </c>
      <c r="N148" s="115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29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42"/>
        <v>0</v>
      </c>
      <c r="F149" s="55">
        <f t="shared" si="43"/>
        <v>0</v>
      </c>
      <c r="G149" s="55">
        <f t="shared" si="44"/>
        <v>0</v>
      </c>
      <c r="H149" s="436">
        <f t="shared" si="45"/>
        <v>0</v>
      </c>
      <c r="I149" s="437">
        <f t="shared" si="46"/>
        <v>0</v>
      </c>
      <c r="J149" s="54">
        <f t="shared" si="48"/>
        <v>0</v>
      </c>
      <c r="K149" s="54"/>
      <c r="L149" s="115"/>
      <c r="M149" s="54">
        <f t="shared" si="49"/>
        <v>0</v>
      </c>
      <c r="N149" s="115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29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42"/>
        <v>0</v>
      </c>
      <c r="F150" s="55">
        <f t="shared" si="43"/>
        <v>0</v>
      </c>
      <c r="G150" s="55">
        <f t="shared" si="44"/>
        <v>0</v>
      </c>
      <c r="H150" s="436">
        <f t="shared" si="45"/>
        <v>0</v>
      </c>
      <c r="I150" s="437">
        <f t="shared" si="46"/>
        <v>0</v>
      </c>
      <c r="J150" s="54">
        <f t="shared" si="48"/>
        <v>0</v>
      </c>
      <c r="K150" s="54"/>
      <c r="L150" s="115"/>
      <c r="M150" s="54">
        <f t="shared" si="49"/>
        <v>0</v>
      </c>
      <c r="N150" s="115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29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42"/>
        <v>0</v>
      </c>
      <c r="F151" s="55">
        <f t="shared" si="43"/>
        <v>0</v>
      </c>
      <c r="G151" s="55">
        <f t="shared" si="44"/>
        <v>0</v>
      </c>
      <c r="H151" s="436">
        <f t="shared" si="45"/>
        <v>0</v>
      </c>
      <c r="I151" s="437">
        <f t="shared" si="46"/>
        <v>0</v>
      </c>
      <c r="J151" s="54">
        <f t="shared" si="48"/>
        <v>0</v>
      </c>
      <c r="K151" s="54"/>
      <c r="L151" s="115"/>
      <c r="M151" s="54">
        <f t="shared" si="49"/>
        <v>0</v>
      </c>
      <c r="N151" s="115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29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42"/>
        <v>0</v>
      </c>
      <c r="F152" s="55">
        <f t="shared" si="43"/>
        <v>0</v>
      </c>
      <c r="G152" s="55">
        <f t="shared" si="44"/>
        <v>0</v>
      </c>
      <c r="H152" s="436">
        <f t="shared" si="45"/>
        <v>0</v>
      </c>
      <c r="I152" s="437">
        <f t="shared" si="46"/>
        <v>0</v>
      </c>
      <c r="J152" s="54">
        <f t="shared" si="48"/>
        <v>0</v>
      </c>
      <c r="K152" s="54"/>
      <c r="L152" s="115"/>
      <c r="M152" s="54">
        <f t="shared" si="49"/>
        <v>0</v>
      </c>
      <c r="N152" s="115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29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42"/>
        <v>0</v>
      </c>
      <c r="F153" s="55">
        <f t="shared" si="43"/>
        <v>0</v>
      </c>
      <c r="G153" s="55">
        <f t="shared" si="44"/>
        <v>0</v>
      </c>
      <c r="H153" s="436">
        <f t="shared" si="45"/>
        <v>0</v>
      </c>
      <c r="I153" s="437">
        <f t="shared" si="46"/>
        <v>0</v>
      </c>
      <c r="J153" s="54">
        <f t="shared" si="48"/>
        <v>0</v>
      </c>
      <c r="K153" s="54"/>
      <c r="L153" s="115"/>
      <c r="M153" s="54">
        <f t="shared" si="49"/>
        <v>0</v>
      </c>
      <c r="N153" s="115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29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42"/>
        <v>0</v>
      </c>
      <c r="F154" s="59">
        <f t="shared" si="43"/>
        <v>0</v>
      </c>
      <c r="G154" s="59">
        <f t="shared" si="44"/>
        <v>0</v>
      </c>
      <c r="H154" s="438">
        <f t="shared" si="45"/>
        <v>0</v>
      </c>
      <c r="I154" s="439">
        <f t="shared" si="46"/>
        <v>0</v>
      </c>
      <c r="J154" s="62">
        <f t="shared" si="48"/>
        <v>0</v>
      </c>
      <c r="K154" s="54"/>
      <c r="L154" s="116"/>
      <c r="M154" s="62">
        <f t="shared" si="49"/>
        <v>0</v>
      </c>
      <c r="N154" s="116"/>
      <c r="O154" s="62">
        <f t="shared" si="50"/>
        <v>0</v>
      </c>
      <c r="P154" s="62">
        <f t="shared" si="51"/>
        <v>0</v>
      </c>
    </row>
    <row r="155" spans="2:16" ht="12.5">
      <c r="C155" s="12" t="s">
        <v>77</v>
      </c>
      <c r="D155" s="267"/>
      <c r="E155" s="267">
        <f>SUM(E99:E154)</f>
        <v>8147701</v>
      </c>
      <c r="F155" s="267"/>
      <c r="G155" s="267"/>
      <c r="H155" s="267">
        <f>SUM(H99:H154)</f>
        <v>28436313.76423198</v>
      </c>
      <c r="I155" s="267">
        <f>SUM(I99:I154)</f>
        <v>28436313.76423198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V137"/>
  <sheetViews>
    <sheetView topLeftCell="A76" zoomScale="70" zoomScaleNormal="70" zoomScaleSheetLayoutView="10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0.7265625" customWidth="1"/>
    <col min="4" max="9" width="17.7265625" customWidth="1"/>
    <col min="10" max="10" width="17.7265625" bestFit="1" customWidth="1"/>
    <col min="11" max="11" width="2.1796875" customWidth="1"/>
    <col min="12" max="15" width="17.7265625" customWidth="1"/>
    <col min="16" max="16" width="19.54296875" customWidth="1"/>
    <col min="17" max="17" width="2.1796875" customWidth="1"/>
    <col min="18" max="18" width="16.453125" customWidth="1"/>
    <col min="19" max="19" width="52.453125" customWidth="1"/>
  </cols>
  <sheetData>
    <row r="1" spans="1:19" ht="17.5">
      <c r="A1" s="486" t="str">
        <f>'PSO.WS.F.BPU.ATRR.Projected'!A1</f>
        <v xml:space="preserve">AEP West SPP Member Companies 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</row>
    <row r="2" spans="1:19" ht="17.5">
      <c r="A2" s="486" t="str">
        <f>'PSO.WS.F.BPU.ATRR.Projected'!A2</f>
        <v>2026 Cost of Service Formula Rate Projected on 2026 FF1 Balances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Q2" s="91" t="s">
        <v>125</v>
      </c>
    </row>
    <row r="3" spans="1:19" ht="18">
      <c r="A3" s="489" t="s">
        <v>141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</row>
    <row r="4" spans="1:19" ht="17.5">
      <c r="A4" s="488" t="str">
        <f>"Based on a Carrying Charge Derived from ""Trued-Up"" "&amp;M16&amp;" Data"</f>
        <v>Based on a Carrying Charge Derived from "Trued-Up" 2024 Data</v>
      </c>
      <c r="B4" s="488"/>
      <c r="C4" s="488"/>
      <c r="D4" s="488"/>
      <c r="E4" s="488"/>
      <c r="F4" s="488"/>
      <c r="G4" s="488"/>
      <c r="H4" s="488"/>
      <c r="I4" s="488"/>
      <c r="J4" s="488"/>
      <c r="K4" s="488"/>
    </row>
    <row r="5" spans="1:19" ht="18">
      <c r="A5" s="493" t="str">
        <f>'PSO.WS.F.BPU.ATRR.Projected'!A5</f>
        <v>PUBLIC SERVICE COMPANY OF OKLAHOMA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</row>
    <row r="6" spans="1:19" ht="20">
      <c r="A6" s="290"/>
      <c r="C6" s="10"/>
      <c r="D6" s="7"/>
      <c r="I6" s="182"/>
    </row>
    <row r="7" spans="1:19" ht="12.5">
      <c r="D7" s="7"/>
      <c r="I7" s="182"/>
    </row>
    <row r="8" spans="1:19" ht="38.25" customHeight="1">
      <c r="B8" s="203" t="s">
        <v>0</v>
      </c>
      <c r="C8" s="49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92"/>
      <c r="E8" s="492"/>
      <c r="F8" s="492"/>
      <c r="G8" s="492"/>
      <c r="H8" s="492"/>
      <c r="I8" s="492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182"/>
    </row>
    <row r="11" spans="1:19" ht="12.5">
      <c r="D11" s="7"/>
      <c r="I11" s="182"/>
    </row>
    <row r="12" spans="1:19" ht="12.5">
      <c r="C12" s="206" t="str">
        <f>S105</f>
        <v xml:space="preserve">   ROE w/o incentives  (True-Up TCOS, ln 135)</v>
      </c>
      <c r="D12" s="7"/>
      <c r="E12" s="207"/>
      <c r="F12" s="208">
        <f>+R105</f>
        <v>0.105</v>
      </c>
      <c r="G12" s="208"/>
      <c r="H12" s="209"/>
      <c r="I12" s="210"/>
      <c r="J12" s="211"/>
      <c r="K12" s="211"/>
      <c r="L12" s="211"/>
      <c r="M12" s="211"/>
      <c r="N12" s="211"/>
      <c r="O12" s="211"/>
      <c r="P12" s="211"/>
      <c r="Q12" s="211"/>
      <c r="R12" s="1"/>
      <c r="S12" s="1"/>
    </row>
    <row r="13" spans="1:19" ht="13" thickBot="1">
      <c r="C13" s="206" t="s">
        <v>1</v>
      </c>
      <c r="D13" s="7"/>
      <c r="E13" s="207"/>
      <c r="F13" s="291">
        <f>R106</f>
        <v>0</v>
      </c>
      <c r="G13" s="292" t="s">
        <v>152</v>
      </c>
      <c r="L13" s="211"/>
      <c r="M13" s="211"/>
      <c r="N13" s="211"/>
      <c r="O13" s="211"/>
      <c r="P13" s="211"/>
      <c r="Q13" s="211"/>
      <c r="R13" s="1"/>
      <c r="S13" s="1"/>
    </row>
    <row r="14" spans="1:19" ht="13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0.105</v>
      </c>
      <c r="G14" s="214" t="s">
        <v>2</v>
      </c>
      <c r="I14" s="211"/>
      <c r="J14" s="211"/>
      <c r="K14" s="211"/>
      <c r="L14" s="293" t="s">
        <v>89</v>
      </c>
      <c r="M14" s="294"/>
      <c r="N14" s="294"/>
      <c r="O14" s="294"/>
      <c r="P14" s="295"/>
      <c r="Q14" s="211"/>
      <c r="R14" s="1"/>
      <c r="S14" s="1"/>
    </row>
    <row r="15" spans="1:19" ht="12.5">
      <c r="C15" s="206" t="s">
        <v>235</v>
      </c>
      <c r="D15" s="7"/>
      <c r="E15" s="207"/>
      <c r="F15" s="213"/>
      <c r="G15" s="213"/>
      <c r="H15" s="207"/>
      <c r="I15" s="211"/>
      <c r="J15" s="211"/>
      <c r="K15" s="211"/>
      <c r="L15" s="222"/>
      <c r="M15" s="211"/>
      <c r="N15" s="211" t="s">
        <v>8</v>
      </c>
      <c r="O15" s="211" t="s">
        <v>9</v>
      </c>
      <c r="P15" s="224" t="s">
        <v>10</v>
      </c>
      <c r="Q15" s="211"/>
      <c r="R15" s="1"/>
      <c r="S15" s="1"/>
    </row>
    <row r="16" spans="1:19" ht="12.5">
      <c r="C16" s="211"/>
      <c r="D16" s="215" t="s">
        <v>4</v>
      </c>
      <c r="E16" s="215" t="s">
        <v>5</v>
      </c>
      <c r="F16" s="216" t="s">
        <v>6</v>
      </c>
      <c r="G16" s="216"/>
      <c r="H16" s="207"/>
      <c r="I16" s="211"/>
      <c r="J16" s="211"/>
      <c r="K16" s="211"/>
      <c r="L16" s="222" t="s">
        <v>90</v>
      </c>
      <c r="M16" s="296">
        <f>+R104</f>
        <v>2024</v>
      </c>
      <c r="P16" s="228"/>
      <c r="Q16" s="211"/>
      <c r="R16" s="1"/>
      <c r="S16" s="1"/>
    </row>
    <row r="17" spans="3:19" ht="12.5">
      <c r="C17" s="217" t="s">
        <v>7</v>
      </c>
      <c r="D17" s="218">
        <f>R107</f>
        <v>0.48032000660675805</v>
      </c>
      <c r="E17" s="219">
        <f>R108</f>
        <v>4.2750444469652191E-2</v>
      </c>
      <c r="F17" s="220">
        <f>E17*D17</f>
        <v>2.0533893770105182E-2</v>
      </c>
      <c r="G17" s="220"/>
      <c r="H17" s="207"/>
      <c r="I17" s="211"/>
      <c r="J17" s="221"/>
      <c r="K17" s="221"/>
      <c r="L17" s="227"/>
      <c r="M17" s="297" t="s">
        <v>219</v>
      </c>
      <c r="N17" s="298">
        <f>SUM(P.001:P.034!M87)</f>
        <v>8562478.7103067245</v>
      </c>
      <c r="O17" s="298">
        <f>SUM(P.001:P.034!N87)</f>
        <v>8562478.7103067245</v>
      </c>
      <c r="P17" s="472">
        <f>+O17-N17</f>
        <v>0</v>
      </c>
      <c r="Q17" s="221"/>
      <c r="R17" s="1"/>
      <c r="S17" s="1"/>
    </row>
    <row r="18" spans="3:19" ht="13" thickBot="1">
      <c r="C18" s="217" t="s">
        <v>11</v>
      </c>
      <c r="D18" s="218">
        <f>R109</f>
        <v>0</v>
      </c>
      <c r="E18" s="219">
        <f>R110</f>
        <v>0</v>
      </c>
      <c r="F18" s="220">
        <f>E18*D18</f>
        <v>0</v>
      </c>
      <c r="G18" s="220"/>
      <c r="H18" s="225"/>
      <c r="I18" s="225"/>
      <c r="J18" s="226"/>
      <c r="K18" s="226"/>
      <c r="L18" s="227"/>
      <c r="M18" s="299" t="s">
        <v>218</v>
      </c>
      <c r="N18" s="300">
        <f>SUM(P.001:P.034!M88)</f>
        <v>9988500.9813237544</v>
      </c>
      <c r="O18" s="300">
        <f>SUM(P.001:P.034!N88)</f>
        <v>9988500.9813237544</v>
      </c>
      <c r="P18" s="473">
        <f>+O18-N18</f>
        <v>0</v>
      </c>
      <c r="Q18" s="226"/>
      <c r="R18" s="1"/>
      <c r="S18" s="1"/>
    </row>
    <row r="19" spans="3:19" ht="12.5">
      <c r="C19" s="217" t="s">
        <v>12</v>
      </c>
      <c r="D19" s="218">
        <f>R111</f>
        <v>0.51967999339324189</v>
      </c>
      <c r="E19" s="219">
        <f>+F14</f>
        <v>0.105</v>
      </c>
      <c r="F19" s="229">
        <f>E19*D19</f>
        <v>5.4566399306290397E-2</v>
      </c>
      <c r="G19" s="229"/>
      <c r="H19" s="225"/>
      <c r="I19" s="225"/>
      <c r="J19" s="213"/>
      <c r="K19" s="226"/>
      <c r="L19" s="227"/>
      <c r="M19" s="301" t="str">
        <f>"True-up Adjustment For "&amp;M16&amp;""</f>
        <v>True-up Adjustment For 2024</v>
      </c>
      <c r="N19" s="199">
        <f>+N18-N17</f>
        <v>1426022.2710170299</v>
      </c>
      <c r="O19" s="199">
        <f>+O18-O17</f>
        <v>1426022.2710170299</v>
      </c>
      <c r="P19" s="474">
        <f>+P18-P17</f>
        <v>0</v>
      </c>
      <c r="Q19" s="226"/>
      <c r="R19" s="1"/>
      <c r="S19" s="1"/>
    </row>
    <row r="20" spans="3:19" ht="12.5">
      <c r="C20" s="206"/>
      <c r="D20" s="207"/>
      <c r="E20" s="234" t="s">
        <v>14</v>
      </c>
      <c r="F20" s="220">
        <f>SUM(F17:F19)</f>
        <v>7.5100293076395583E-2</v>
      </c>
      <c r="G20" s="220"/>
      <c r="H20" s="302"/>
      <c r="I20" s="225"/>
      <c r="J20" s="226"/>
      <c r="K20" s="226"/>
      <c r="L20" s="227"/>
      <c r="N20" s="235" t="str">
        <f>IF(ROUND(N19,0)=ROUND(SUM(P.001:P.034!M89),0),"","ERROR")</f>
        <v/>
      </c>
      <c r="O20" s="235" t="str">
        <f>IF(ROUND(O19,0)=ROUND(SUM(P.001:P.034!N89),0),"","ERROR")</f>
        <v/>
      </c>
      <c r="P20" s="235" t="str">
        <f>IF(P19=SUM(P.001:P.034!O89),"","ERROR")</f>
        <v/>
      </c>
      <c r="Q20" s="226"/>
      <c r="R20" s="1"/>
      <c r="S20" s="1"/>
    </row>
    <row r="21" spans="3:19" ht="13" thickBot="1">
      <c r="D21" s="236"/>
      <c r="E21" s="236"/>
      <c r="F21" s="225"/>
      <c r="G21" s="225"/>
      <c r="H21" s="225"/>
      <c r="I21" s="225"/>
      <c r="J21" s="225"/>
      <c r="K21" s="225"/>
      <c r="L21" s="303"/>
      <c r="M21" s="304"/>
      <c r="N21" s="305"/>
      <c r="O21" s="305"/>
      <c r="P21" s="233"/>
      <c r="Q21" s="225"/>
      <c r="R21" s="1"/>
      <c r="S21" s="1"/>
    </row>
    <row r="22" spans="3:19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6"/>
      <c r="E22" s="236"/>
      <c r="F22" s="225"/>
      <c r="G22" s="225"/>
      <c r="H22" s="225"/>
      <c r="I22" s="207"/>
      <c r="J22" s="225"/>
      <c r="K22" s="225"/>
      <c r="L22" s="225"/>
      <c r="M22" s="225"/>
      <c r="N22" s="225"/>
      <c r="O22" s="225"/>
      <c r="P22" s="225"/>
      <c r="Q22" s="225"/>
      <c r="R22" s="1"/>
      <c r="S22" s="1"/>
    </row>
    <row r="23" spans="3:19" ht="13">
      <c r="C23" s="211"/>
      <c r="D23" s="236"/>
      <c r="E23" s="236"/>
      <c r="F23" s="225"/>
      <c r="G23" s="225"/>
      <c r="H23" s="225"/>
      <c r="I23" s="225"/>
      <c r="J23" s="225"/>
      <c r="K23" s="225"/>
      <c r="L23" s="26" t="s">
        <v>15</v>
      </c>
      <c r="M23" s="225"/>
      <c r="N23" s="225"/>
      <c r="O23" s="225"/>
      <c r="P23" s="225"/>
      <c r="Q23" s="225"/>
      <c r="R23" s="1"/>
      <c r="S23" s="1"/>
    </row>
    <row r="24" spans="3:19" ht="12.5">
      <c r="C24" s="206" t="str">
        <f>S112</f>
        <v xml:space="preserve">   Rate Base  (True-Up TCOS, ln 63)</v>
      </c>
      <c r="D24" s="207"/>
      <c r="E24" s="237">
        <f>R112</f>
        <v>687940507.97900021</v>
      </c>
      <c r="F24" s="238"/>
      <c r="G24" s="238"/>
      <c r="H24" s="225"/>
      <c r="I24" s="225"/>
      <c r="J24" s="225"/>
      <c r="K24" s="225"/>
      <c r="L24" t="s">
        <v>16</v>
      </c>
      <c r="M24" s="225"/>
      <c r="N24" s="225"/>
      <c r="O24" s="225"/>
      <c r="P24" s="238"/>
      <c r="Q24" s="225"/>
      <c r="R24" s="1"/>
      <c r="S24" s="1"/>
    </row>
    <row r="25" spans="3:19" ht="12.5">
      <c r="C25" s="211" t="s">
        <v>17</v>
      </c>
      <c r="D25" s="209"/>
      <c r="E25" s="239">
        <f>F20</f>
        <v>7.5100293076395583E-2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1"/>
      <c r="S25" s="1"/>
    </row>
    <row r="26" spans="3:19" ht="12.5">
      <c r="C26" s="240" t="s">
        <v>18</v>
      </c>
      <c r="D26" s="240"/>
      <c r="E26" s="226">
        <f>E24*E25</f>
        <v>51664533.768347368</v>
      </c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5"/>
      <c r="Q26" s="226"/>
      <c r="R26" s="1"/>
      <c r="S26" s="1"/>
    </row>
    <row r="27" spans="3:19" ht="12.5">
      <c r="C27" s="240"/>
      <c r="D27" s="211"/>
      <c r="E27" s="211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5"/>
      <c r="Q27" s="226"/>
      <c r="R27" s="1"/>
      <c r="S27" s="1"/>
    </row>
    <row r="28" spans="3:19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1"/>
      <c r="E28" s="241"/>
      <c r="F28" s="242"/>
      <c r="G28" s="242"/>
      <c r="H28" s="242"/>
      <c r="I28" s="242"/>
      <c r="J28" s="243"/>
      <c r="K28" s="243"/>
      <c r="L28" s="243"/>
      <c r="M28" s="243"/>
      <c r="N28" s="243"/>
      <c r="O28" s="243"/>
      <c r="P28" s="242"/>
      <c r="Q28" s="243"/>
      <c r="R28" s="1"/>
      <c r="S28" s="1"/>
    </row>
    <row r="29" spans="3:19" ht="12.5">
      <c r="C29" s="206"/>
      <c r="D29" s="211"/>
      <c r="E29" s="211"/>
      <c r="F29" s="225"/>
      <c r="G29" s="225"/>
      <c r="H29" s="225"/>
      <c r="I29" s="225"/>
      <c r="J29" s="226"/>
      <c r="K29" s="226"/>
      <c r="L29" s="226"/>
      <c r="M29" s="226"/>
      <c r="N29" s="226">
        <f>+N17-6729904</f>
        <v>1832574.7103067245</v>
      </c>
      <c r="O29" s="226"/>
      <c r="P29" s="225"/>
      <c r="Q29" s="226"/>
      <c r="R29" s="1"/>
      <c r="S29" s="1"/>
    </row>
    <row r="30" spans="3:19" ht="12.5">
      <c r="C30" s="211" t="s">
        <v>19</v>
      </c>
      <c r="D30" s="234"/>
      <c r="E30" s="238">
        <f>E26</f>
        <v>51664533.768347368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1"/>
      <c r="S30" s="1"/>
    </row>
    <row r="31" spans="3:19" ht="12.5">
      <c r="C31" s="206" t="str">
        <f>S113</f>
        <v xml:space="preserve">   Tax Rate  (True-Up TCOS, ln 105)</v>
      </c>
      <c r="D31" s="234"/>
      <c r="E31" s="8">
        <f>R113</f>
        <v>0.24025699999999994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1"/>
      <c r="S31" s="1"/>
    </row>
    <row r="32" spans="3:19" ht="12.5">
      <c r="C32" s="211" t="s">
        <v>20</v>
      </c>
      <c r="D32" s="2"/>
      <c r="E32" s="213">
        <f>IF(F17&gt;0,($E31/(1-$E31))*(1-$F17/$F20),0)</f>
        <v>0.22976983242616258</v>
      </c>
      <c r="F32" s="1"/>
      <c r="G32" s="1"/>
      <c r="H32" s="1"/>
      <c r="I32" s="202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 ht="12.5">
      <c r="C33" s="240" t="s">
        <v>21</v>
      </c>
      <c r="D33" s="2"/>
      <c r="E33" s="244">
        <f>E30*E32</f>
        <v>11870951.266328992</v>
      </c>
      <c r="F33" s="1"/>
      <c r="G33" s="1"/>
      <c r="H33" s="1"/>
      <c r="I33" s="202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.5">
      <c r="C34" s="206" t="str">
        <f>+S114</f>
        <v xml:space="preserve">   ITC Adjustment  (True-Up TCOS, ln 102)</v>
      </c>
      <c r="D34" s="245"/>
      <c r="E34" s="225">
        <f>R114</f>
        <v>171132.45451701357</v>
      </c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6"/>
      <c r="Q34" s="245"/>
      <c r="R34" s="1"/>
      <c r="S34" s="1"/>
    </row>
    <row r="35" spans="2:19" ht="15.5">
      <c r="C35" s="206" t="str">
        <f>+S115</f>
        <v xml:space="preserve">   Excess DFIT Adjustment  (TCOS, ln 109)</v>
      </c>
      <c r="D35" s="245"/>
      <c r="E35" s="225">
        <f>R115</f>
        <v>-1451892.2478111866</v>
      </c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6"/>
      <c r="Q35" s="245"/>
      <c r="R35" s="1"/>
      <c r="S35" s="1"/>
    </row>
    <row r="36" spans="2:19" ht="15.5">
      <c r="C36" s="206" t="str">
        <f>+S116</f>
        <v xml:space="preserve">   Tax Effect of Permanent and Flow Through Differences (TCOS, ln 110)</v>
      </c>
      <c r="D36" s="245"/>
      <c r="E36" s="225">
        <f>R116</f>
        <v>100629.70641072042</v>
      </c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6"/>
      <c r="Q36" s="245"/>
      <c r="R36" s="1"/>
      <c r="S36" s="1"/>
    </row>
    <row r="37" spans="2:19" ht="15.5">
      <c r="C37" s="240" t="s">
        <v>22</v>
      </c>
      <c r="D37" s="245"/>
      <c r="E37" s="225">
        <f>E33+E34+E35+E36</f>
        <v>10690821.179445541</v>
      </c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7"/>
      <c r="Q37" s="245"/>
      <c r="R37" s="1"/>
      <c r="S37" s="1"/>
    </row>
    <row r="38" spans="2:19" ht="12.75" customHeight="1">
      <c r="C38" s="248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7"/>
      <c r="Q38" s="245"/>
      <c r="R38" s="1"/>
      <c r="S38" s="1"/>
    </row>
    <row r="39" spans="2:19" ht="18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7"/>
      <c r="Q39" s="245"/>
      <c r="R39" s="1"/>
      <c r="S39" s="1"/>
    </row>
    <row r="40" spans="2:19" ht="18.75" customHeight="1">
      <c r="B40" s="4"/>
      <c r="C40" s="10" t="str">
        <f>"ROE increase."</f>
        <v>ROE increase.</v>
      </c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7"/>
      <c r="Q40" s="245"/>
      <c r="R40" s="1"/>
      <c r="S40" s="1"/>
    </row>
    <row r="41" spans="2:19" ht="12.75" customHeight="1">
      <c r="C41" s="248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7"/>
      <c r="Q41" s="245"/>
      <c r="R41" s="1"/>
      <c r="S41" s="1"/>
    </row>
    <row r="42" spans="2:19" ht="15.5">
      <c r="C42" s="6" t="s">
        <v>24</v>
      </c>
      <c r="D42" s="245"/>
      <c r="E42" s="245"/>
      <c r="F42" s="248"/>
      <c r="G42" s="248"/>
      <c r="H42" s="245"/>
      <c r="I42" s="245"/>
      <c r="J42" s="245"/>
      <c r="K42" s="245"/>
      <c r="L42" s="245"/>
      <c r="M42" s="245"/>
      <c r="N42" s="245"/>
      <c r="O42" s="245"/>
      <c r="P42" s="247"/>
      <c r="Q42" s="245"/>
      <c r="R42" s="1"/>
      <c r="S42" s="1"/>
    </row>
    <row r="43" spans="2:19" ht="12.5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S117</f>
        <v xml:space="preserve">   Net Revenue Requirement  (True-Up TCOS, ln 109)</v>
      </c>
      <c r="D44" s="207"/>
      <c r="E44" s="207"/>
      <c r="F44" s="225">
        <f>R117</f>
        <v>134973025.19654</v>
      </c>
      <c r="G44" s="225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 ht="12.5">
      <c r="B45" s="1"/>
      <c r="C45" s="206" t="str">
        <f>S118</f>
        <v xml:space="preserve">   Return  (True-Up TCOS, ln 104)</v>
      </c>
      <c r="D45" s="207"/>
      <c r="E45" s="207"/>
      <c r="F45" s="225">
        <f>R118</f>
        <v>51664533.768347368</v>
      </c>
      <c r="G45" s="226"/>
      <c r="H45" s="206"/>
      <c r="I45" s="206"/>
      <c r="J45" s="206"/>
      <c r="K45" s="206"/>
      <c r="L45" s="206"/>
      <c r="M45" s="206"/>
      <c r="N45" s="206"/>
      <c r="O45" s="206"/>
      <c r="P45" s="225"/>
      <c r="Q45" s="206"/>
      <c r="R45" s="1"/>
      <c r="S45" s="1"/>
    </row>
    <row r="46" spans="2:19" ht="12.5">
      <c r="B46" s="1"/>
      <c r="C46" s="206" t="str">
        <f>S119</f>
        <v xml:space="preserve">   Income Taxes  (True-Up TCOS, ln 103)</v>
      </c>
      <c r="D46" s="207"/>
      <c r="E46" s="207"/>
      <c r="F46" s="225">
        <f>R119</f>
        <v>10690821.179445541</v>
      </c>
      <c r="G46" s="225"/>
      <c r="H46" s="207"/>
      <c r="I46" s="207"/>
      <c r="J46" s="249"/>
      <c r="K46" s="249"/>
      <c r="L46" s="249"/>
      <c r="M46" s="249"/>
      <c r="N46" s="249"/>
      <c r="O46" s="249"/>
      <c r="P46" s="207"/>
      <c r="Q46" s="249"/>
      <c r="R46" s="1"/>
      <c r="S46" s="1"/>
    </row>
    <row r="47" spans="2:19" ht="12.5">
      <c r="B47" s="1"/>
      <c r="C47" s="206" t="str">
        <f>S120</f>
        <v xml:space="preserve">  Gross Margin Taxes  (True-Up TCOS, ln 108)</v>
      </c>
      <c r="D47" s="207"/>
      <c r="E47" s="207"/>
      <c r="F47" s="250">
        <f>R120</f>
        <v>0</v>
      </c>
      <c r="G47" s="225"/>
      <c r="H47" s="207"/>
      <c r="I47" s="207"/>
      <c r="J47" s="249"/>
      <c r="K47" s="249"/>
      <c r="L47" s="249"/>
      <c r="M47" s="249"/>
      <c r="N47" s="249"/>
      <c r="O47" s="249"/>
      <c r="P47" s="207"/>
      <c r="Q47" s="249"/>
      <c r="R47" s="1"/>
      <c r="S47" s="1"/>
    </row>
    <row r="48" spans="2:19" ht="12.5">
      <c r="B48" s="1"/>
      <c r="C48" s="1" t="s">
        <v>25</v>
      </c>
      <c r="D48" s="207"/>
      <c r="E48" s="207"/>
      <c r="F48" s="226">
        <f>F44-F45-F46-F47</f>
        <v>72617670.248747095</v>
      </c>
      <c r="G48" s="226"/>
      <c r="H48" s="223"/>
      <c r="I48" s="207"/>
      <c r="J48" s="223"/>
      <c r="K48" s="223"/>
      <c r="L48" s="223"/>
      <c r="M48" s="223"/>
      <c r="N48" s="223"/>
      <c r="O48" s="223"/>
      <c r="P48" s="223"/>
      <c r="Q48" s="223"/>
      <c r="R48" s="1"/>
      <c r="S48" s="1"/>
    </row>
    <row r="49" spans="2:22" ht="12.5">
      <c r="B49" s="1"/>
      <c r="C49" s="206"/>
      <c r="D49" s="207"/>
      <c r="E49" s="207"/>
      <c r="F49" s="225"/>
      <c r="G49" s="225"/>
      <c r="H49" s="208"/>
      <c r="I49" s="220"/>
      <c r="J49" s="220"/>
      <c r="K49" s="220"/>
      <c r="L49" s="220"/>
      <c r="M49" s="220"/>
      <c r="N49" s="220"/>
      <c r="O49" s="220"/>
      <c r="P49" s="220"/>
      <c r="Q49" s="220"/>
      <c r="R49" s="1"/>
      <c r="S49" s="1"/>
    </row>
    <row r="50" spans="2:22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25"/>
      <c r="H50" s="208"/>
      <c r="I50" s="220"/>
      <c r="J50" s="220"/>
      <c r="K50" s="220"/>
      <c r="L50" s="220"/>
      <c r="M50" s="220"/>
      <c r="N50" s="220"/>
      <c r="O50" s="220"/>
      <c r="P50" s="220"/>
      <c r="Q50" s="220"/>
      <c r="R50" s="1"/>
      <c r="S50" s="1"/>
    </row>
    <row r="51" spans="2:22" ht="12.5">
      <c r="B51" s="1"/>
      <c r="C51" s="206"/>
      <c r="D51" s="211"/>
      <c r="E51" s="211"/>
      <c r="F51" s="225"/>
      <c r="G51" s="225"/>
      <c r="H51" s="208"/>
      <c r="I51" s="220"/>
      <c r="J51" s="220"/>
      <c r="K51" s="220"/>
      <c r="L51" s="220"/>
      <c r="M51" s="220"/>
      <c r="N51" s="220"/>
      <c r="O51" s="220"/>
      <c r="P51" s="220"/>
      <c r="Q51" s="220"/>
      <c r="R51" s="1"/>
      <c r="S51" s="1"/>
      <c r="V51" t="s">
        <v>455</v>
      </c>
    </row>
    <row r="52" spans="2:22" ht="13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72617670.248747095</v>
      </c>
      <c r="G52" s="225"/>
      <c r="H52" s="207"/>
      <c r="I52" s="207"/>
      <c r="J52" s="207"/>
      <c r="K52" s="207"/>
      <c r="L52" s="207"/>
      <c r="M52" s="207"/>
      <c r="N52" s="207"/>
      <c r="O52" s="207"/>
      <c r="P52" s="253"/>
      <c r="Q52" s="207"/>
      <c r="R52" s="1"/>
      <c r="S52" s="1"/>
    </row>
    <row r="53" spans="2:22" ht="13">
      <c r="B53" s="1"/>
      <c r="C53" s="211" t="s">
        <v>103</v>
      </c>
      <c r="D53" s="2"/>
      <c r="E53" s="1"/>
      <c r="F53" s="244">
        <f>E26</f>
        <v>51664533.768347368</v>
      </c>
      <c r="G53" s="244"/>
      <c r="H53" s="1"/>
      <c r="I53" s="255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22" ht="12.75" customHeight="1">
      <c r="B54" s="1"/>
      <c r="C54" s="206" t="s">
        <v>26</v>
      </c>
      <c r="D54" s="207"/>
      <c r="E54" s="207"/>
      <c r="F54" s="306">
        <f>E37</f>
        <v>10690821.179445541</v>
      </c>
      <c r="G54" s="256"/>
      <c r="H54" s="1"/>
      <c r="I54" s="202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22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4">
        <f>SUM(F52:F54)</f>
        <v>134973025.19654</v>
      </c>
      <c r="G55" s="244"/>
      <c r="H55" s="1"/>
      <c r="I55" s="202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22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7">
        <f>+F71</f>
        <v>0</v>
      </c>
      <c r="G56" s="244"/>
      <c r="H56" s="1"/>
      <c r="I56" s="202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22" ht="12.5">
      <c r="B57" s="1"/>
      <c r="C57" s="1" t="s">
        <v>27</v>
      </c>
      <c r="D57" s="2"/>
      <c r="E57" s="1"/>
      <c r="F57" s="244">
        <f>+F55+F56</f>
        <v>134973025.19654</v>
      </c>
      <c r="G57" s="244"/>
      <c r="H57" s="1"/>
      <c r="I57" s="202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22" ht="12.5">
      <c r="B58" s="1"/>
      <c r="C58" s="206" t="str">
        <f>S121</f>
        <v xml:space="preserve">   Less: Depreciation  (True-Up TCOS, ln 82)</v>
      </c>
      <c r="D58" s="2"/>
      <c r="E58" s="1"/>
      <c r="F58" s="258">
        <f>R121</f>
        <v>27491329.543581594</v>
      </c>
      <c r="G58" s="258"/>
      <c r="H58" s="1"/>
      <c r="I58" s="202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22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4">
        <f>F57-F58</f>
        <v>107481695.65295841</v>
      </c>
      <c r="G59" s="244"/>
      <c r="H59" s="1"/>
      <c r="I59" s="202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22" ht="12.5">
      <c r="B60" s="1"/>
      <c r="C60" s="1"/>
      <c r="D60" s="2"/>
      <c r="E60" s="1"/>
      <c r="F60" s="1"/>
      <c r="G60" s="1"/>
      <c r="H60" s="1"/>
      <c r="I60" s="202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22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4"/>
      <c r="G61" s="244"/>
      <c r="H61" s="1"/>
      <c r="I61" s="202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22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4">
        <f>+F55</f>
        <v>134973025.19654</v>
      </c>
      <c r="G62" s="244"/>
      <c r="H62" s="1"/>
      <c r="I62" s="202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22" ht="12.5">
      <c r="B63" s="1"/>
      <c r="C63" s="1" t="s">
        <v>28</v>
      </c>
      <c r="F63" s="244"/>
      <c r="G63" s="244"/>
      <c r="H63" s="1"/>
      <c r="I63" s="202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22" ht="12.5">
      <c r="B64" s="1"/>
      <c r="C64" s="1" t="str">
        <f>S122</f>
        <v xml:space="preserve">       Apportionment Factor to Texas (Worksheet K, ln 12)</v>
      </c>
      <c r="D64" s="2"/>
      <c r="E64" s="1"/>
      <c r="F64" s="260">
        <f>R122</f>
        <v>0</v>
      </c>
      <c r="G64" s="8"/>
      <c r="H64" s="1"/>
      <c r="I64" s="202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29</v>
      </c>
      <c r="D65" s="2"/>
      <c r="E65" s="1"/>
      <c r="F65" s="244">
        <f>+F64*F62</f>
        <v>0</v>
      </c>
      <c r="G65" s="244"/>
      <c r="H65" s="1"/>
      <c r="I65" s="202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tr">
        <f>+'PSO.WS.F.BPU.ATRR.Projected'!C66</f>
        <v xml:space="preserve">       Taxable Percentage of Revenue (22%)</v>
      </c>
      <c r="D66" s="2"/>
      <c r="E66" s="1"/>
      <c r="F66" s="261">
        <f>+'PSO.WS.F.BPU.ATRR.Projected'!F66</f>
        <v>0.22</v>
      </c>
      <c r="G66" s="307"/>
      <c r="H66" s="1"/>
      <c r="I66" s="202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30</v>
      </c>
      <c r="D67" s="2"/>
      <c r="E67" s="1"/>
      <c r="F67" s="244">
        <f>+F65*F66</f>
        <v>0</v>
      </c>
      <c r="G67" s="244"/>
      <c r="H67" s="1"/>
      <c r="I67" s="202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31</v>
      </c>
      <c r="D68" s="2"/>
      <c r="E68" s="1"/>
      <c r="F68" s="261">
        <v>0.01</v>
      </c>
      <c r="G68" s="307"/>
      <c r="H68" s="1"/>
      <c r="I68" s="202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32</v>
      </c>
      <c r="D69" s="2"/>
      <c r="E69" s="1"/>
      <c r="F69" s="244">
        <f>+F67*F68</f>
        <v>0</v>
      </c>
      <c r="G69" s="244"/>
      <c r="H69" s="1"/>
      <c r="I69" s="202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33</v>
      </c>
      <c r="D70" s="2"/>
      <c r="E70" s="1"/>
      <c r="F70" s="262">
        <f>+ROUND((F69*F66*F64)/(1-F68)*F68,0)</f>
        <v>0</v>
      </c>
      <c r="G70" s="308"/>
      <c r="H70" s="1"/>
      <c r="I70" s="202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34</v>
      </c>
      <c r="D71" s="2"/>
      <c r="E71" s="1"/>
      <c r="F71" s="244">
        <f>+F69+F70</f>
        <v>0</v>
      </c>
      <c r="G71" s="244"/>
      <c r="H71" s="1"/>
      <c r="I71" s="202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1"/>
      <c r="I72" s="202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182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1"/>
      <c r="I74" s="202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06" t="str">
        <f>S123</f>
        <v xml:space="preserve">   Net Transmission Plant  (True-Up TCOS, ln 39)</v>
      </c>
      <c r="D75" s="2"/>
      <c r="E75" s="1"/>
      <c r="F75" s="244">
        <f>R123</f>
        <v>800198988.26538479</v>
      </c>
      <c r="G75" s="244"/>
      <c r="I75" s="182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4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09">
        <f>+F57</f>
        <v>134973025.19654</v>
      </c>
      <c r="G76" s="309"/>
      <c r="I76" s="182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0.16867432623118539</v>
      </c>
      <c r="G77" s="8"/>
      <c r="I77" s="182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 ht="12.5">
      <c r="B78" s="1"/>
      <c r="D78" s="2"/>
      <c r="E78" s="1"/>
      <c r="F78" s="1"/>
      <c r="G78" s="1"/>
      <c r="H78" s="310"/>
      <c r="I78" s="182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4">
        <f>+F59</f>
        <v>107481695.65295841</v>
      </c>
      <c r="G79" s="244"/>
      <c r="I79" s="182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0.13431870975736884</v>
      </c>
      <c r="G80" s="8"/>
      <c r="H80" s="204"/>
      <c r="I80" s="182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 ht="12.5">
      <c r="B81" s="1"/>
      <c r="C81" s="206" t="str">
        <f>S124</f>
        <v xml:space="preserve">   FCR less Depreciation  (True-Up TCOS, ln 12)</v>
      </c>
      <c r="D81" s="2"/>
      <c r="E81" s="1"/>
      <c r="F81" s="263">
        <f>R124</f>
        <v>0.13431870975736884</v>
      </c>
      <c r="G81" s="263"/>
      <c r="H81" s="311"/>
      <c r="I81" s="182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 ht="12.5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0</v>
      </c>
      <c r="G82" s="8"/>
      <c r="I82" s="182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 ht="12.5">
      <c r="B83" s="1"/>
      <c r="C83" s="1"/>
      <c r="D83" s="2"/>
      <c r="E83" s="1"/>
      <c r="F83" s="8"/>
      <c r="G83" s="8"/>
      <c r="H83" s="1"/>
      <c r="I83" s="202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35</v>
      </c>
      <c r="C84" s="10" t="s">
        <v>36</v>
      </c>
      <c r="D84" s="2"/>
      <c r="E84" s="1"/>
      <c r="F84" s="8"/>
      <c r="G84" s="8"/>
      <c r="H84" s="1"/>
      <c r="I84" s="202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02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9">
        <f>R125</f>
        <v>1228403479</v>
      </c>
      <c r="G86" s="1" t="s">
        <v>283</v>
      </c>
      <c r="I86" s="202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4">
        <f>R126</f>
        <v>1345242710</v>
      </c>
      <c r="G87" s="1" t="s">
        <v>283</v>
      </c>
      <c r="I87" s="202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02">
        <f>+F87+F86</f>
        <v>2573646189</v>
      </c>
      <c r="G88" s="202"/>
      <c r="H88" s="1"/>
      <c r="I88" s="202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+S127</f>
        <v>Transmission Plant Average Balance for 2018</v>
      </c>
      <c r="D89" s="2"/>
      <c r="F89" s="255">
        <f>+F88/2</f>
        <v>1286823094.5</v>
      </c>
      <c r="G89" s="255"/>
      <c r="I89" s="202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06" t="str">
        <f>S128</f>
        <v>Annual Depreciation Expense  (True-Up TCOS, ln 82)</v>
      </c>
      <c r="D90" s="2"/>
      <c r="E90" s="1"/>
      <c r="F90" s="255">
        <f>R128</f>
        <v>34344533</v>
      </c>
      <c r="G90" s="255"/>
      <c r="I90" s="202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39</v>
      </c>
      <c r="D91" s="2"/>
      <c r="E91" s="1"/>
      <c r="F91" s="8">
        <f>IF(F89=0,0,F90/F89)</f>
        <v>2.6689397436828487E-2</v>
      </c>
      <c r="G91" s="8"/>
      <c r="H91" s="1"/>
      <c r="I91" s="266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40</v>
      </c>
      <c r="D92" s="2"/>
      <c r="E92" s="1"/>
      <c r="F92" s="266">
        <f>IF(F91=0,0,1/F91)</f>
        <v>37.468062078468208</v>
      </c>
      <c r="G92" s="266"/>
      <c r="H92" s="1"/>
      <c r="I92" s="202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41</v>
      </c>
      <c r="D93" s="2"/>
      <c r="E93" s="1"/>
      <c r="F93" s="12">
        <f>ROUND(F92,0)</f>
        <v>37</v>
      </c>
      <c r="G93" s="12"/>
      <c r="H93" s="1"/>
      <c r="I93" s="202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B94" s="1"/>
      <c r="C94" s="1"/>
      <c r="D94" s="2"/>
      <c r="E94" s="1"/>
      <c r="F94" s="12"/>
      <c r="G94" s="12"/>
      <c r="H94" s="1"/>
      <c r="I94" s="202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 ht="12.5">
      <c r="B95" s="1"/>
      <c r="C95" s="1"/>
      <c r="D95" s="2"/>
      <c r="E95" s="1"/>
      <c r="F95" s="12"/>
      <c r="G95" s="12"/>
      <c r="H95" s="1"/>
      <c r="I95" s="202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 ht="12.5">
      <c r="B96" s="1"/>
      <c r="C96" s="1"/>
      <c r="D96" s="2"/>
      <c r="E96" s="1"/>
      <c r="F96" s="12"/>
      <c r="G96" s="12"/>
      <c r="H96" s="1"/>
      <c r="I96" s="202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 ht="13">
      <c r="C97" s="1"/>
      <c r="D97" s="2"/>
      <c r="E97" s="1"/>
      <c r="F97" s="1"/>
      <c r="G97" s="1"/>
      <c r="H97" s="1"/>
      <c r="I97" s="202"/>
      <c r="J97" s="1"/>
      <c r="K97" s="1"/>
      <c r="L97" s="1"/>
      <c r="M97" s="1"/>
      <c r="N97" s="1"/>
      <c r="O97" s="1"/>
      <c r="P97" s="1"/>
      <c r="Q97" s="1"/>
      <c r="R97" s="268" t="s">
        <v>126</v>
      </c>
      <c r="S97" s="196" t="s">
        <v>132</v>
      </c>
    </row>
    <row r="98" spans="3:19" ht="12.5">
      <c r="C98" s="1"/>
      <c r="D98" s="2"/>
      <c r="E98" s="1"/>
      <c r="F98" s="1"/>
      <c r="G98" s="1"/>
      <c r="H98" s="1"/>
      <c r="I98" s="202"/>
      <c r="J98" s="1"/>
      <c r="K98" s="1"/>
      <c r="L98" s="1"/>
      <c r="M98" s="1"/>
      <c r="N98" s="1"/>
      <c r="O98" s="1"/>
      <c r="P98" s="1"/>
      <c r="Q98" s="1"/>
    </row>
    <row r="99" spans="3:19" ht="13">
      <c r="C99" s="91" t="s">
        <v>122</v>
      </c>
      <c r="L99" s="91" t="s">
        <v>121</v>
      </c>
      <c r="N99" s="1"/>
      <c r="O99" s="1"/>
      <c r="P99" s="1"/>
      <c r="Q99" s="1"/>
    </row>
    <row r="100" spans="3:19" ht="12.5">
      <c r="C100" s="1"/>
      <c r="D100" s="2"/>
      <c r="E100" s="1"/>
      <c r="F100" s="1"/>
      <c r="G100" s="1"/>
      <c r="H100" s="1"/>
      <c r="I100" s="202"/>
      <c r="J100" s="1"/>
      <c r="K100" s="1"/>
      <c r="L100" s="1"/>
      <c r="M100" s="1"/>
      <c r="N100" s="1"/>
      <c r="O100" s="1"/>
      <c r="P100" s="1"/>
      <c r="Q100" s="1"/>
      <c r="S100" s="196" t="s">
        <v>119</v>
      </c>
    </row>
    <row r="101" spans="3:19" ht="13">
      <c r="C101" s="1"/>
      <c r="D101" s="2"/>
      <c r="E101" s="1"/>
      <c r="F101" s="1"/>
      <c r="G101" s="1"/>
      <c r="H101" s="1"/>
      <c r="I101" s="202"/>
      <c r="J101" s="1"/>
      <c r="K101" s="1"/>
      <c r="L101" s="1"/>
      <c r="M101" s="1"/>
      <c r="N101" s="1"/>
      <c r="O101" s="1"/>
      <c r="P101" s="1"/>
      <c r="Q101" s="1"/>
      <c r="R101" s="268" t="s">
        <v>115</v>
      </c>
      <c r="S101" s="169" t="s">
        <v>135</v>
      </c>
    </row>
    <row r="102" spans="3:19" ht="13.5" thickBot="1">
      <c r="C102" s="1"/>
      <c r="D102" s="2"/>
      <c r="E102" s="1"/>
      <c r="F102" s="1"/>
      <c r="G102" s="1"/>
      <c r="H102" s="1"/>
      <c r="I102" s="202"/>
      <c r="J102" s="1"/>
      <c r="K102" s="1"/>
      <c r="L102" s="1"/>
      <c r="M102" s="1"/>
      <c r="N102" s="1"/>
      <c r="O102" s="1"/>
      <c r="P102" s="1"/>
      <c r="Q102" s="1"/>
      <c r="R102" s="269" t="s">
        <v>227</v>
      </c>
    </row>
    <row r="103" spans="3:19" ht="12.5">
      <c r="C103" s="1"/>
      <c r="D103" s="2"/>
      <c r="E103" s="1"/>
      <c r="F103" s="1"/>
      <c r="G103" s="1"/>
      <c r="H103" s="1"/>
      <c r="I103" s="202"/>
      <c r="J103" s="1"/>
      <c r="K103" s="1"/>
      <c r="L103" s="1"/>
      <c r="M103" s="1"/>
      <c r="N103" s="1"/>
      <c r="O103" s="1"/>
      <c r="P103" s="1"/>
      <c r="Q103" s="1"/>
      <c r="R103" s="312" t="s">
        <v>212</v>
      </c>
      <c r="S103" s="313" t="s">
        <v>143</v>
      </c>
    </row>
    <row r="104" spans="3:19" ht="12.5">
      <c r="C104" s="1"/>
      <c r="D104" s="2"/>
      <c r="E104" s="1"/>
      <c r="F104" s="1"/>
      <c r="G104" s="1"/>
      <c r="H104" s="1"/>
      <c r="I104" s="202"/>
      <c r="J104" s="1"/>
      <c r="K104" s="1"/>
      <c r="L104" s="1"/>
      <c r="M104" s="1"/>
      <c r="N104" s="1"/>
      <c r="O104" s="1"/>
      <c r="P104" s="1"/>
      <c r="Q104" s="1"/>
      <c r="R104" s="314">
        <v>2024</v>
      </c>
      <c r="S104" s="228" t="s">
        <v>94</v>
      </c>
    </row>
    <row r="105" spans="3:19" ht="12.5">
      <c r="C105" s="1"/>
      <c r="D105" s="2"/>
      <c r="E105" s="1"/>
      <c r="F105" s="1"/>
      <c r="G105" s="1"/>
      <c r="H105" s="1"/>
      <c r="I105" s="202"/>
      <c r="J105" s="1"/>
      <c r="K105" s="1"/>
      <c r="L105" s="1"/>
      <c r="M105" s="1"/>
      <c r="N105" s="1"/>
      <c r="O105" s="1"/>
      <c r="P105" s="1"/>
      <c r="Q105" s="1"/>
      <c r="R105" s="315">
        <v>0.105</v>
      </c>
      <c r="S105" s="273" t="s">
        <v>311</v>
      </c>
    </row>
    <row r="106" spans="3:19" ht="12.5">
      <c r="C106" s="1"/>
      <c r="D106" s="2"/>
      <c r="E106" s="1"/>
      <c r="F106" s="1"/>
      <c r="G106" s="1"/>
      <c r="H106" s="1"/>
      <c r="I106" s="202"/>
      <c r="J106" s="1"/>
      <c r="K106" s="1"/>
      <c r="L106" s="1"/>
      <c r="M106" s="1"/>
      <c r="N106" s="1"/>
      <c r="O106" s="1"/>
      <c r="P106" s="1"/>
      <c r="Q106" s="1"/>
      <c r="R106" s="316">
        <v>0</v>
      </c>
      <c r="S106" s="273" t="s">
        <v>1</v>
      </c>
    </row>
    <row r="107" spans="3:19" ht="12.5">
      <c r="C107" s="1"/>
      <c r="D107" s="2"/>
      <c r="E107" s="1"/>
      <c r="F107" s="1"/>
      <c r="G107" s="1"/>
      <c r="H107" s="1"/>
      <c r="I107" s="202"/>
      <c r="J107" s="1"/>
      <c r="K107" s="1"/>
      <c r="L107" s="1"/>
      <c r="M107" s="1"/>
      <c r="N107" s="1"/>
      <c r="O107" s="1"/>
      <c r="P107" s="1"/>
      <c r="Q107" s="1"/>
      <c r="R107" s="315">
        <v>0.48032000660675805</v>
      </c>
      <c r="S107" s="276" t="s">
        <v>109</v>
      </c>
    </row>
    <row r="108" spans="3:19" ht="12.5">
      <c r="C108" s="1"/>
      <c r="D108" s="2"/>
      <c r="E108" s="1"/>
      <c r="F108" s="1"/>
      <c r="G108" s="1"/>
      <c r="H108" s="1"/>
      <c r="I108" s="202"/>
      <c r="J108" s="1"/>
      <c r="K108" s="1"/>
      <c r="L108" s="1"/>
      <c r="M108" s="1"/>
      <c r="N108" s="1"/>
      <c r="O108" s="1"/>
      <c r="P108" s="1"/>
      <c r="Q108" s="1"/>
      <c r="R108" s="317">
        <v>4.2750444469652191E-2</v>
      </c>
      <c r="S108" s="276" t="s">
        <v>110</v>
      </c>
    </row>
    <row r="109" spans="3:19" ht="12.5">
      <c r="C109" s="1"/>
      <c r="D109" s="2"/>
      <c r="E109" s="1"/>
      <c r="F109" s="1"/>
      <c r="G109" s="1"/>
      <c r="H109" s="1"/>
      <c r="I109" s="202"/>
      <c r="J109" s="1"/>
      <c r="K109" s="1"/>
      <c r="L109" s="1"/>
      <c r="M109" s="1"/>
      <c r="N109" s="1"/>
      <c r="O109" s="1"/>
      <c r="P109" s="1"/>
      <c r="Q109" s="1"/>
      <c r="R109" s="315">
        <v>0</v>
      </c>
      <c r="S109" s="276" t="s">
        <v>111</v>
      </c>
    </row>
    <row r="110" spans="3:19" ht="12.5">
      <c r="C110" s="1"/>
      <c r="D110" s="2"/>
      <c r="E110" s="1"/>
      <c r="F110" s="1"/>
      <c r="G110" s="1"/>
      <c r="H110" s="1"/>
      <c r="I110" s="202"/>
      <c r="J110" s="1"/>
      <c r="K110" s="1"/>
      <c r="L110" s="1"/>
      <c r="M110" s="1"/>
      <c r="N110" s="1"/>
      <c r="O110" s="1"/>
      <c r="P110" s="1"/>
      <c r="Q110" s="1"/>
      <c r="R110" s="317">
        <v>0</v>
      </c>
      <c r="S110" s="276" t="s">
        <v>112</v>
      </c>
    </row>
    <row r="111" spans="3:19" ht="12.5">
      <c r="C111" s="1"/>
      <c r="D111" s="2"/>
      <c r="E111" s="1"/>
      <c r="F111" s="1"/>
      <c r="G111" s="1"/>
      <c r="H111" s="1"/>
      <c r="I111" s="202"/>
      <c r="J111" s="1"/>
      <c r="K111" s="1"/>
      <c r="L111" s="1"/>
      <c r="M111" s="1"/>
      <c r="N111" s="1"/>
      <c r="O111" s="1"/>
      <c r="P111" s="1"/>
      <c r="Q111" s="1"/>
      <c r="R111" s="315">
        <v>0.51967999339324189</v>
      </c>
      <c r="S111" s="277" t="s">
        <v>113</v>
      </c>
    </row>
    <row r="112" spans="3:19" ht="12.5">
      <c r="C112" s="1"/>
      <c r="D112" s="2"/>
      <c r="E112" s="1"/>
      <c r="F112" s="1"/>
      <c r="G112" s="1"/>
      <c r="H112" s="1"/>
      <c r="I112" s="202"/>
      <c r="J112" s="1"/>
      <c r="K112" s="1"/>
      <c r="L112" s="1"/>
      <c r="M112" s="1"/>
      <c r="N112" s="1"/>
      <c r="O112" s="1"/>
      <c r="P112" s="1"/>
      <c r="Q112" s="1"/>
      <c r="R112" s="278">
        <v>687940507.97900021</v>
      </c>
      <c r="S112" s="318" t="s">
        <v>232</v>
      </c>
    </row>
    <row r="113" spans="3:19" ht="12.5">
      <c r="C113" s="1"/>
      <c r="D113" s="2"/>
      <c r="E113" s="1"/>
      <c r="F113" s="1"/>
      <c r="G113" s="1"/>
      <c r="H113" s="1"/>
      <c r="I113" s="202"/>
      <c r="J113" s="1"/>
      <c r="K113" s="1"/>
      <c r="L113" s="1"/>
      <c r="M113" s="1"/>
      <c r="N113" s="1"/>
      <c r="O113" s="1"/>
      <c r="P113" s="1"/>
      <c r="Q113" s="1"/>
      <c r="R113" s="280">
        <v>0.24025699999999994</v>
      </c>
      <c r="S113" s="319" t="s">
        <v>312</v>
      </c>
    </row>
    <row r="114" spans="3:19" ht="12.5">
      <c r="C114" s="1"/>
      <c r="D114" s="2"/>
      <c r="E114" s="1"/>
      <c r="F114" s="1"/>
      <c r="G114" s="1"/>
      <c r="H114" s="1"/>
      <c r="I114" s="202"/>
      <c r="J114" s="1"/>
      <c r="K114" s="1"/>
      <c r="L114" s="1"/>
      <c r="M114" s="1"/>
      <c r="N114" s="1"/>
      <c r="O114" s="1"/>
      <c r="P114" s="1"/>
      <c r="Q114" s="1"/>
      <c r="R114" s="278">
        <v>171132.45451701357</v>
      </c>
      <c r="S114" s="319" t="s">
        <v>313</v>
      </c>
    </row>
    <row r="115" spans="3:19" ht="12.5">
      <c r="C115" s="1"/>
      <c r="D115" s="2"/>
      <c r="E115" s="1"/>
      <c r="F115" s="1"/>
      <c r="G115" s="1"/>
      <c r="H115" s="1"/>
      <c r="I115" s="202"/>
      <c r="J115" s="1"/>
      <c r="K115" s="1"/>
      <c r="L115" s="1"/>
      <c r="M115" s="1"/>
      <c r="N115" s="1"/>
      <c r="O115" s="1"/>
      <c r="P115" s="1"/>
      <c r="Q115" s="1"/>
      <c r="R115" s="278">
        <v>-1451892.2478111866</v>
      </c>
      <c r="S115" s="320" t="s">
        <v>324</v>
      </c>
    </row>
    <row r="116" spans="3:19" ht="12.5">
      <c r="C116" s="1"/>
      <c r="D116" s="2"/>
      <c r="E116" s="1"/>
      <c r="F116" s="1"/>
      <c r="G116" s="1"/>
      <c r="H116" s="1"/>
      <c r="I116" s="202"/>
      <c r="J116" s="1"/>
      <c r="K116" s="1"/>
      <c r="L116" s="1"/>
      <c r="M116" s="1"/>
      <c r="N116" s="1"/>
      <c r="O116" s="1"/>
      <c r="P116" s="1"/>
      <c r="Q116" s="1"/>
      <c r="R116" s="278">
        <v>100629.70641072042</v>
      </c>
      <c r="S116" s="320" t="s">
        <v>325</v>
      </c>
    </row>
    <row r="117" spans="3:19" ht="12.5">
      <c r="C117" s="1"/>
      <c r="D117" s="2"/>
      <c r="E117" s="1"/>
      <c r="F117" s="1"/>
      <c r="G117" s="1"/>
      <c r="H117" s="1"/>
      <c r="I117" s="202"/>
      <c r="J117" s="1"/>
      <c r="K117" s="1"/>
      <c r="L117" s="1"/>
      <c r="M117" s="1"/>
      <c r="N117" s="1"/>
      <c r="O117" s="1"/>
      <c r="P117" s="1"/>
      <c r="Q117" s="1"/>
      <c r="R117" s="278">
        <v>134973025.19654</v>
      </c>
      <c r="S117" s="319" t="s">
        <v>314</v>
      </c>
    </row>
    <row r="118" spans="3:19" ht="12.5">
      <c r="C118" s="1"/>
      <c r="D118" s="2"/>
      <c r="E118" s="1"/>
      <c r="F118" s="1"/>
      <c r="G118" s="1"/>
      <c r="H118" s="1"/>
      <c r="I118" s="202"/>
      <c r="J118" s="1"/>
      <c r="K118" s="1"/>
      <c r="L118" s="1"/>
      <c r="M118" s="1"/>
      <c r="N118" s="1"/>
      <c r="O118" s="1"/>
      <c r="P118" s="1"/>
      <c r="Q118" s="1"/>
      <c r="R118" s="278">
        <v>51664533.768347368</v>
      </c>
      <c r="S118" s="319" t="s">
        <v>315</v>
      </c>
    </row>
    <row r="119" spans="3:19" ht="12.5">
      <c r="C119" s="1"/>
      <c r="D119" s="2"/>
      <c r="E119" s="1"/>
      <c r="F119" s="1"/>
      <c r="G119" s="1"/>
      <c r="H119" s="1"/>
      <c r="I119" s="202"/>
      <c r="J119" s="1"/>
      <c r="K119" s="1"/>
      <c r="L119" s="1"/>
      <c r="M119" s="1"/>
      <c r="N119" s="1"/>
      <c r="O119" s="1"/>
      <c r="P119" s="1"/>
      <c r="Q119" s="1"/>
      <c r="R119" s="278">
        <v>10690821.179445541</v>
      </c>
      <c r="S119" s="319" t="s">
        <v>316</v>
      </c>
    </row>
    <row r="120" spans="3:19" ht="12.5">
      <c r="C120" s="1"/>
      <c r="D120" s="2"/>
      <c r="E120" s="1"/>
      <c r="F120" s="1"/>
      <c r="G120" s="1"/>
      <c r="H120" s="1"/>
      <c r="I120" s="202"/>
      <c r="J120" s="1"/>
      <c r="K120" s="1"/>
      <c r="L120" s="1"/>
      <c r="M120" s="1"/>
      <c r="N120" s="1"/>
      <c r="O120" s="1"/>
      <c r="P120" s="1"/>
      <c r="Q120" s="1"/>
      <c r="R120" s="278">
        <v>0</v>
      </c>
      <c r="S120" s="319" t="s">
        <v>317</v>
      </c>
    </row>
    <row r="121" spans="3:19" ht="12.5">
      <c r="C121" s="1"/>
      <c r="D121" s="2"/>
      <c r="E121" s="1"/>
      <c r="F121" s="1"/>
      <c r="G121" s="1"/>
      <c r="H121" s="1"/>
      <c r="I121" s="202"/>
      <c r="J121" s="1"/>
      <c r="K121" s="1"/>
      <c r="L121" s="1"/>
      <c r="M121" s="1"/>
      <c r="N121" s="1"/>
      <c r="O121" s="1"/>
      <c r="P121" s="1"/>
      <c r="Q121" s="1"/>
      <c r="R121" s="278">
        <v>27491329.543581594</v>
      </c>
      <c r="S121" s="319" t="s">
        <v>318</v>
      </c>
    </row>
    <row r="122" spans="3:19" ht="12.5">
      <c r="C122" s="1"/>
      <c r="D122" s="2"/>
      <c r="E122" s="1"/>
      <c r="F122" s="1"/>
      <c r="G122" s="1"/>
      <c r="H122" s="1"/>
      <c r="I122" s="202"/>
      <c r="J122" s="1"/>
      <c r="K122" s="1"/>
      <c r="L122" s="1"/>
      <c r="M122" s="1"/>
      <c r="N122" s="1"/>
      <c r="O122" s="1"/>
      <c r="P122" s="1"/>
      <c r="Q122" s="1"/>
      <c r="R122" s="280">
        <v>0</v>
      </c>
      <c r="S122" s="319" t="s">
        <v>118</v>
      </c>
    </row>
    <row r="123" spans="3:19" ht="12.5">
      <c r="C123" s="1"/>
      <c r="D123" s="2"/>
      <c r="E123" s="1"/>
      <c r="F123" s="1"/>
      <c r="G123" s="1"/>
      <c r="H123" s="1"/>
      <c r="I123" s="202"/>
      <c r="J123" s="1"/>
      <c r="K123" s="1"/>
      <c r="L123" s="1"/>
      <c r="M123" s="1"/>
      <c r="N123" s="1"/>
      <c r="O123" s="1"/>
      <c r="P123" s="1"/>
      <c r="Q123" s="1"/>
      <c r="R123" s="278">
        <v>800198988.26538479</v>
      </c>
      <c r="S123" s="319" t="s">
        <v>233</v>
      </c>
    </row>
    <row r="124" spans="3:19" ht="12.5">
      <c r="C124" s="1"/>
      <c r="D124" s="2"/>
      <c r="E124" s="1"/>
      <c r="F124" s="1"/>
      <c r="G124" s="1"/>
      <c r="H124" s="1"/>
      <c r="I124" s="202"/>
      <c r="J124" s="1"/>
      <c r="K124" s="1"/>
      <c r="L124" s="1"/>
      <c r="M124" s="1"/>
      <c r="N124" s="1"/>
      <c r="O124" s="1"/>
      <c r="P124" s="1"/>
      <c r="Q124" s="1"/>
      <c r="R124" s="280">
        <v>0.13431870975736884</v>
      </c>
      <c r="S124" s="283" t="s">
        <v>234</v>
      </c>
    </row>
    <row r="125" spans="3:19" ht="12.5">
      <c r="C125" s="1"/>
      <c r="D125" s="2"/>
      <c r="E125" s="1"/>
      <c r="F125" s="1"/>
      <c r="G125" s="1"/>
      <c r="H125" s="1"/>
      <c r="I125" s="202"/>
      <c r="J125" s="1"/>
      <c r="K125" s="1"/>
      <c r="L125" s="1"/>
      <c r="M125" s="1"/>
      <c r="N125" s="1"/>
      <c r="O125" s="1"/>
      <c r="P125" s="1"/>
      <c r="Q125" s="1"/>
      <c r="R125" s="321">
        <v>1228403479</v>
      </c>
      <c r="S125" s="276" t="s">
        <v>37</v>
      </c>
    </row>
    <row r="126" spans="3:19" ht="12.5">
      <c r="C126" s="1"/>
      <c r="D126" s="2"/>
      <c r="E126" s="1"/>
      <c r="F126" s="1"/>
      <c r="G126" s="1"/>
      <c r="H126" s="1"/>
      <c r="I126" s="202"/>
      <c r="J126" s="1"/>
      <c r="K126" s="1"/>
      <c r="L126" s="1"/>
      <c r="M126" s="1"/>
      <c r="N126" s="1"/>
      <c r="O126" s="1"/>
      <c r="P126" s="1"/>
      <c r="Q126" s="1"/>
      <c r="R126" s="322">
        <v>1345242710</v>
      </c>
      <c r="S126" s="277" t="s">
        <v>38</v>
      </c>
    </row>
    <row r="127" spans="3:19" ht="12.5">
      <c r="C127" s="1"/>
      <c r="D127" s="2"/>
      <c r="E127" s="1"/>
      <c r="F127" s="1"/>
      <c r="G127" s="1"/>
      <c r="H127" s="1"/>
      <c r="I127" s="202"/>
      <c r="J127" s="1"/>
      <c r="K127" s="1"/>
      <c r="L127" s="1"/>
      <c r="M127" s="1"/>
      <c r="N127" s="1"/>
      <c r="O127" s="1"/>
      <c r="P127" s="1"/>
      <c r="Q127" s="1"/>
      <c r="R127" s="322">
        <v>1264681127.2407694</v>
      </c>
      <c r="S127" s="285" t="s">
        <v>323</v>
      </c>
    </row>
    <row r="128" spans="3:19" ht="13" thickBot="1">
      <c r="C128" s="1"/>
      <c r="D128" s="2"/>
      <c r="E128" s="1"/>
      <c r="F128" s="1"/>
      <c r="G128" s="1"/>
      <c r="H128" s="1"/>
      <c r="I128" s="202"/>
      <c r="J128" s="1"/>
      <c r="K128" s="1"/>
      <c r="L128" s="1"/>
      <c r="M128" s="1"/>
      <c r="N128" s="1"/>
      <c r="O128" s="1"/>
      <c r="P128" s="1"/>
      <c r="Q128" s="1"/>
      <c r="R128" s="323">
        <v>34344533</v>
      </c>
      <c r="S128" s="286" t="s">
        <v>319</v>
      </c>
    </row>
    <row r="129" spans="3:19" ht="12.5">
      <c r="C129" s="1"/>
      <c r="D129" s="2"/>
      <c r="E129" s="1"/>
      <c r="F129" s="1"/>
      <c r="G129" s="1"/>
      <c r="H129" s="1"/>
      <c r="I129" s="202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1"/>
      <c r="I130" s="202"/>
      <c r="J130" s="1"/>
      <c r="K130" s="1"/>
      <c r="L130" s="1"/>
      <c r="M130" s="1"/>
      <c r="N130" s="1"/>
      <c r="O130" s="1"/>
      <c r="P130" s="1"/>
      <c r="Q130" s="1"/>
      <c r="R130" s="268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1"/>
      <c r="I131" s="202"/>
      <c r="J131" s="1"/>
      <c r="K131" s="1"/>
      <c r="L131" s="1"/>
      <c r="M131" s="1"/>
      <c r="N131" s="1"/>
      <c r="O131" s="1"/>
      <c r="P131" s="1"/>
      <c r="Q131" s="1"/>
      <c r="R131" s="269" t="s">
        <v>134</v>
      </c>
      <c r="S131" s="1"/>
    </row>
    <row r="132" spans="3:19" ht="12.5">
      <c r="C132" s="1"/>
      <c r="D132" s="2"/>
      <c r="E132" s="1"/>
      <c r="F132" s="1"/>
      <c r="G132" s="1"/>
      <c r="H132" s="1"/>
      <c r="I132" s="202"/>
      <c r="J132" s="1"/>
      <c r="K132" s="1"/>
      <c r="L132" s="1"/>
      <c r="M132" s="1"/>
      <c r="N132" s="1"/>
      <c r="O132" s="1"/>
      <c r="P132" s="1"/>
      <c r="Q132" s="1"/>
      <c r="R132" s="287">
        <v>9262191.0701439064</v>
      </c>
      <c r="S132" t="s">
        <v>136</v>
      </c>
    </row>
    <row r="133" spans="3:19" ht="12.5">
      <c r="C133" s="1"/>
      <c r="D133" s="2"/>
      <c r="E133" s="1"/>
      <c r="F133" s="1"/>
      <c r="G133" s="1"/>
      <c r="H133" s="1"/>
      <c r="I133" s="202"/>
      <c r="J133" s="1"/>
      <c r="K133" s="1"/>
      <c r="L133" s="1"/>
      <c r="M133" s="1"/>
      <c r="N133" s="1"/>
      <c r="O133" s="1"/>
      <c r="P133" s="1"/>
      <c r="Q133" s="1"/>
      <c r="R133" s="288">
        <v>9262191.0701439064</v>
      </c>
      <c r="S133" t="s">
        <v>137</v>
      </c>
    </row>
    <row r="134" spans="3:19" ht="12.5">
      <c r="C134" s="1"/>
      <c r="D134" s="2"/>
      <c r="E134" s="1"/>
      <c r="F134" s="1"/>
      <c r="G134" s="1"/>
      <c r="H134" s="1"/>
      <c r="I134" s="202"/>
      <c r="J134" s="1"/>
      <c r="K134" s="1"/>
      <c r="L134" s="1"/>
      <c r="M134" s="1"/>
      <c r="N134" s="1"/>
      <c r="O134" s="1"/>
      <c r="P134" s="1"/>
      <c r="Q134" s="1"/>
      <c r="R134" s="324">
        <v>10146571.939449474</v>
      </c>
      <c r="S134" t="s">
        <v>138</v>
      </c>
    </row>
    <row r="135" spans="3:19" ht="13" thickBot="1">
      <c r="C135" s="1"/>
      <c r="D135" s="2"/>
      <c r="E135" s="1"/>
      <c r="F135" s="1"/>
      <c r="G135" s="1"/>
      <c r="H135" s="1"/>
      <c r="I135" s="202"/>
      <c r="J135" s="1"/>
      <c r="K135" s="1"/>
      <c r="L135" s="1"/>
      <c r="M135" s="1"/>
      <c r="N135" s="1"/>
      <c r="O135" s="1"/>
      <c r="P135" s="1"/>
      <c r="Q135" s="1"/>
      <c r="R135" s="289">
        <v>10146571.939449474</v>
      </c>
      <c r="S135" t="s">
        <v>139</v>
      </c>
    </row>
    <row r="136" spans="3:19" ht="12.75" customHeight="1">
      <c r="R136" s="1"/>
      <c r="S136" s="1"/>
    </row>
    <row r="137" spans="3:19" ht="12.75" customHeight="1">
      <c r="R137" s="268" t="s">
        <v>128</v>
      </c>
      <c r="S137" s="196" t="s">
        <v>133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r:id="rId1"/>
  <headerFooter alignWithMargins="0">
    <oddHeader xml:space="preserve">&amp;R&amp;16AEP - SPP Formula Rate
PSO TCOS - WS G
Page: &amp;P of &amp;N
</oddHeader>
    <oddFooter xml:space="preserve">&amp;C &amp;R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162"/>
  <sheetViews>
    <sheetView topLeftCell="A68" zoomScale="85" zoomScaleNormal="8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27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632920.45507432555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632920.45507432555</v>
      </c>
      <c r="O6" s="1"/>
      <c r="P6" s="1"/>
    </row>
    <row r="7" spans="1:16" ht="13.5" thickBot="1">
      <c r="C7" s="26" t="s">
        <v>46</v>
      </c>
      <c r="D7" s="440" t="s">
        <v>333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335</v>
      </c>
      <c r="E9" s="442" t="s">
        <v>337</v>
      </c>
      <c r="F9" s="32"/>
      <c r="G9" s="452" t="s">
        <v>413</v>
      </c>
      <c r="H9" s="32"/>
      <c r="I9" s="33"/>
      <c r="J9" s="34"/>
      <c r="P9" s="1"/>
    </row>
    <row r="10" spans="1:16" ht="13">
      <c r="C10" s="128" t="s">
        <v>226</v>
      </c>
      <c r="D10" s="336">
        <v>5058588.62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3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133120.75315789474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2019</v>
      </c>
      <c r="D17" s="411">
        <v>0</v>
      </c>
      <c r="E17" s="412">
        <v>0</v>
      </c>
      <c r="F17" s="411">
        <v>4120000</v>
      </c>
      <c r="G17" s="412">
        <v>230012.66047295602</v>
      </c>
      <c r="H17" s="414">
        <v>230012.66047295602</v>
      </c>
      <c r="I17" s="52">
        <f>H17-G17</f>
        <v>0</v>
      </c>
      <c r="J17" s="52"/>
      <c r="K17" s="117">
        <f t="shared" ref="K17:K22" si="0">+G17</f>
        <v>230012.66047295602</v>
      </c>
      <c r="L17" s="53">
        <f t="shared" ref="L17:L18" si="1">IF(K17&lt;&gt;0,+G17-K17,0)</f>
        <v>0</v>
      </c>
      <c r="M17" s="117">
        <f t="shared" ref="M17:M22" si="2">+H17</f>
        <v>230012.66047295602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2020</v>
      </c>
      <c r="D18" s="411">
        <v>4236000</v>
      </c>
      <c r="E18" s="412">
        <v>100857.14285714286</v>
      </c>
      <c r="F18" s="411">
        <v>4135142.8571428573</v>
      </c>
      <c r="G18" s="412">
        <v>552918.85124067403</v>
      </c>
      <c r="H18" s="414">
        <v>552918.85124067403</v>
      </c>
      <c r="I18" s="52">
        <f>H18-G18</f>
        <v>0</v>
      </c>
      <c r="J18" s="52"/>
      <c r="K18" s="54">
        <f t="shared" si="0"/>
        <v>552918.85124067403</v>
      </c>
      <c r="L18" s="54">
        <f t="shared" si="1"/>
        <v>0</v>
      </c>
      <c r="M18" s="54">
        <f t="shared" si="2"/>
        <v>552918.85124067403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11">
        <v>4957664.8571428573</v>
      </c>
      <c r="E19" s="412">
        <v>117640.04651162791</v>
      </c>
      <c r="F19" s="411">
        <v>4840024.8106312295</v>
      </c>
      <c r="G19" s="412">
        <v>645841.5888943586</v>
      </c>
      <c r="H19" s="414">
        <v>645841.5888943586</v>
      </c>
      <c r="I19" s="52">
        <f t="shared" ref="I19:I71" si="5">H19-G19</f>
        <v>0</v>
      </c>
      <c r="J19" s="52"/>
      <c r="K19" s="54">
        <f t="shared" si="0"/>
        <v>645841.5888943586</v>
      </c>
      <c r="L19" s="54">
        <f t="shared" ref="L19" si="6">IF(K19&lt;&gt;0,+G19-K19,0)</f>
        <v>0</v>
      </c>
      <c r="M19" s="54">
        <f t="shared" si="2"/>
        <v>645841.5888943586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11">
        <v>4840091.8106312295</v>
      </c>
      <c r="E20" s="412">
        <v>120442.59523809524</v>
      </c>
      <c r="F20" s="411">
        <v>4719649.2153931344</v>
      </c>
      <c r="G20" s="412">
        <v>635766.39004328649</v>
      </c>
      <c r="H20" s="414">
        <v>635766.39004328649</v>
      </c>
      <c r="I20" s="52">
        <f t="shared" si="5"/>
        <v>0</v>
      </c>
      <c r="J20" s="52"/>
      <c r="K20" s="54">
        <f t="shared" si="0"/>
        <v>635766.39004328649</v>
      </c>
      <c r="L20" s="54">
        <f t="shared" ref="L20" si="8">IF(K20&lt;&gt;0,+G20-K20,0)</f>
        <v>0</v>
      </c>
      <c r="M20" s="54">
        <f t="shared" si="2"/>
        <v>635766.39004328649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11">
        <v>4719648.8353931345</v>
      </c>
      <c r="E21" s="412">
        <v>129707.40051282052</v>
      </c>
      <c r="F21" s="411">
        <v>4589941.4348803144</v>
      </c>
      <c r="G21" s="412">
        <v>685298.8633650993</v>
      </c>
      <c r="H21" s="414">
        <v>685298.8633650993</v>
      </c>
      <c r="I21" s="52">
        <f t="shared" si="5"/>
        <v>0</v>
      </c>
      <c r="J21" s="52"/>
      <c r="K21" s="54">
        <f t="shared" si="0"/>
        <v>685298.8633650993</v>
      </c>
      <c r="L21" s="54">
        <f t="shared" ref="L21" si="9">IF(K21&lt;&gt;0,+G21-K21,0)</f>
        <v>0</v>
      </c>
      <c r="M21" s="54">
        <f t="shared" si="2"/>
        <v>685298.8633650993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 ht="12.5">
      <c r="B22" s="7" t="str">
        <f t="shared" si="7"/>
        <v/>
      </c>
      <c r="C22" s="450">
        <f>IF(D11="","-",+C21+1)</f>
        <v>2024</v>
      </c>
      <c r="D22" s="411">
        <v>4589941.4348803144</v>
      </c>
      <c r="E22" s="412">
        <v>133120.75315789474</v>
      </c>
      <c r="F22" s="411">
        <v>4456820.6817224193</v>
      </c>
      <c r="G22" s="412">
        <v>647610.96322305209</v>
      </c>
      <c r="H22" s="414">
        <v>647610.96322305209</v>
      </c>
      <c r="I22" s="52">
        <f t="shared" si="5"/>
        <v>0</v>
      </c>
      <c r="J22" s="52"/>
      <c r="K22" s="54">
        <f t="shared" si="0"/>
        <v>647610.96322305209</v>
      </c>
      <c r="L22" s="54">
        <f t="shared" ref="L22" si="12">IF(K22&lt;&gt;0,+G22-K22,0)</f>
        <v>0</v>
      </c>
      <c r="M22" s="54">
        <f t="shared" si="2"/>
        <v>647610.96322305209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 ht="13">
      <c r="B23" s="7" t="str">
        <f t="shared" si="7"/>
        <v/>
      </c>
      <c r="C23" s="449">
        <f>IF(D11="","-",+C22+1)</f>
        <v>2025</v>
      </c>
      <c r="D23" s="411">
        <v>4456820.6817224193</v>
      </c>
      <c r="E23" s="412">
        <v>133120.75315789474</v>
      </c>
      <c r="F23" s="411">
        <v>4323699.9285645243</v>
      </c>
      <c r="G23" s="412">
        <v>631882.83500009484</v>
      </c>
      <c r="H23" s="414">
        <v>631882.83500009484</v>
      </c>
      <c r="I23" s="52">
        <f t="shared" si="5"/>
        <v>0</v>
      </c>
      <c r="J23" s="52"/>
      <c r="K23" s="54">
        <f t="shared" ref="K23" si="15">+G23</f>
        <v>631882.83500009484</v>
      </c>
      <c r="L23" s="54">
        <f t="shared" ref="L23" si="16">IF(K23&lt;&gt;0,+G23-K23,0)</f>
        <v>0</v>
      </c>
      <c r="M23" s="54">
        <f t="shared" ref="M23" si="17">+H23</f>
        <v>631882.83500009484</v>
      </c>
      <c r="N23" s="54">
        <f t="shared" ref="N23" si="18">IF(M23&lt;&gt;0,+H23-M23,0)</f>
        <v>0</v>
      </c>
      <c r="O23" s="54">
        <f t="shared" ref="O23" si="19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4323699.9285645243</v>
      </c>
      <c r="E24" s="354">
        <f t="shared" ref="E24:E71" si="20">IF(+I$14&lt;F23,I$14,D24)</f>
        <v>133120.75315789474</v>
      </c>
      <c r="F24" s="55">
        <f t="shared" ref="F24:F71" si="21">+D24-E24</f>
        <v>4190579.1754066297</v>
      </c>
      <c r="G24" s="355">
        <f t="shared" ref="G24:G71" si="22">(D24+F24)/2*I$12+E24</f>
        <v>632920.45507432555</v>
      </c>
      <c r="H24" s="337">
        <f t="shared" ref="H24:H71" si="23">+(D24+F24)/2*I$13+E24</f>
        <v>632920.45507432555</v>
      </c>
      <c r="I24" s="52">
        <f t="shared" si="5"/>
        <v>0</v>
      </c>
      <c r="J24" s="52"/>
      <c r="K24" s="115"/>
      <c r="L24" s="54">
        <f t="shared" ref="L24:L72" si="24">IF(K24&lt;&gt;0,+G24-K24,0)</f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4190579.1754066297</v>
      </c>
      <c r="E25" s="354">
        <f t="shared" si="20"/>
        <v>133120.75315789474</v>
      </c>
      <c r="F25" s="55">
        <f t="shared" si="21"/>
        <v>4057458.4222487351</v>
      </c>
      <c r="G25" s="355">
        <f t="shared" si="22"/>
        <v>617291.71846967889</v>
      </c>
      <c r="H25" s="337">
        <f t="shared" si="23"/>
        <v>617291.71846967889</v>
      </c>
      <c r="I25" s="52">
        <f t="shared" si="5"/>
        <v>0</v>
      </c>
      <c r="J25" s="52"/>
      <c r="K25" s="115"/>
      <c r="L25" s="54">
        <f t="shared" si="24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4057458.4222487351</v>
      </c>
      <c r="E26" s="354">
        <f t="shared" si="20"/>
        <v>133120.75315789474</v>
      </c>
      <c r="F26" s="55">
        <f t="shared" si="21"/>
        <v>3924337.6690908405</v>
      </c>
      <c r="G26" s="355">
        <f t="shared" si="22"/>
        <v>601662.98186503211</v>
      </c>
      <c r="H26" s="337">
        <f t="shared" si="23"/>
        <v>601662.98186503211</v>
      </c>
      <c r="I26" s="52">
        <f t="shared" si="5"/>
        <v>0</v>
      </c>
      <c r="J26" s="52"/>
      <c r="K26" s="115"/>
      <c r="L26" s="54">
        <f t="shared" si="24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3924337.6690908405</v>
      </c>
      <c r="E27" s="354">
        <f t="shared" si="20"/>
        <v>133120.75315789474</v>
      </c>
      <c r="F27" s="55">
        <f t="shared" si="21"/>
        <v>3791216.9159329459</v>
      </c>
      <c r="G27" s="355">
        <f t="shared" si="22"/>
        <v>586034.24526038533</v>
      </c>
      <c r="H27" s="337">
        <f t="shared" si="23"/>
        <v>586034.24526038533</v>
      </c>
      <c r="I27" s="52">
        <f t="shared" si="5"/>
        <v>0</v>
      </c>
      <c r="J27" s="52"/>
      <c r="K27" s="115"/>
      <c r="L27" s="54">
        <f t="shared" si="24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3791216.9159329459</v>
      </c>
      <c r="E28" s="354">
        <f t="shared" si="20"/>
        <v>133120.75315789474</v>
      </c>
      <c r="F28" s="55">
        <f t="shared" si="21"/>
        <v>3658096.1627750513</v>
      </c>
      <c r="G28" s="355">
        <f t="shared" si="22"/>
        <v>570405.50865573855</v>
      </c>
      <c r="H28" s="337">
        <f t="shared" si="23"/>
        <v>570405.50865573855</v>
      </c>
      <c r="I28" s="52">
        <f t="shared" si="5"/>
        <v>0</v>
      </c>
      <c r="J28" s="52"/>
      <c r="K28" s="115"/>
      <c r="L28" s="54">
        <f t="shared" si="24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3658096.1627750513</v>
      </c>
      <c r="E29" s="354">
        <f t="shared" si="20"/>
        <v>133120.75315789474</v>
      </c>
      <c r="F29" s="55">
        <f t="shared" si="21"/>
        <v>3524975.4096171567</v>
      </c>
      <c r="G29" s="355">
        <f t="shared" si="22"/>
        <v>554776.77205109189</v>
      </c>
      <c r="H29" s="337">
        <f t="shared" si="23"/>
        <v>554776.77205109189</v>
      </c>
      <c r="I29" s="52">
        <f t="shared" si="5"/>
        <v>0</v>
      </c>
      <c r="J29" s="52"/>
      <c r="K29" s="115"/>
      <c r="L29" s="54">
        <f t="shared" si="24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3524975.4096171567</v>
      </c>
      <c r="E30" s="354">
        <f t="shared" si="20"/>
        <v>133120.75315789474</v>
      </c>
      <c r="F30" s="55">
        <f t="shared" si="21"/>
        <v>3391854.6564592621</v>
      </c>
      <c r="G30" s="355">
        <f t="shared" si="22"/>
        <v>539148.03544644499</v>
      </c>
      <c r="H30" s="337">
        <f t="shared" si="23"/>
        <v>539148.03544644499</v>
      </c>
      <c r="I30" s="52">
        <f t="shared" si="5"/>
        <v>0</v>
      </c>
      <c r="J30" s="52"/>
      <c r="K30" s="115"/>
      <c r="L30" s="54">
        <f t="shared" si="24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3391854.6564592621</v>
      </c>
      <c r="E31" s="354">
        <f t="shared" si="20"/>
        <v>133120.75315789474</v>
      </c>
      <c r="F31" s="55">
        <f t="shared" si="21"/>
        <v>3258733.9033013675</v>
      </c>
      <c r="G31" s="355">
        <f t="shared" si="22"/>
        <v>523519.29884179833</v>
      </c>
      <c r="H31" s="337">
        <f t="shared" si="23"/>
        <v>523519.29884179833</v>
      </c>
      <c r="I31" s="52">
        <f t="shared" si="5"/>
        <v>0</v>
      </c>
      <c r="J31" s="52"/>
      <c r="K31" s="115"/>
      <c r="L31" s="54">
        <f t="shared" si="24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3258733.9033013675</v>
      </c>
      <c r="E32" s="354">
        <f t="shared" si="20"/>
        <v>133120.75315789474</v>
      </c>
      <c r="F32" s="55">
        <f t="shared" si="21"/>
        <v>3125613.1501434729</v>
      </c>
      <c r="G32" s="355">
        <f t="shared" si="22"/>
        <v>507890.56223715155</v>
      </c>
      <c r="H32" s="337">
        <f t="shared" si="23"/>
        <v>507890.56223715155</v>
      </c>
      <c r="I32" s="52">
        <f t="shared" si="5"/>
        <v>0</v>
      </c>
      <c r="J32" s="52"/>
      <c r="K32" s="115"/>
      <c r="L32" s="54">
        <f t="shared" si="24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3125613.1501434729</v>
      </c>
      <c r="E33" s="354">
        <f t="shared" si="20"/>
        <v>133120.75315789474</v>
      </c>
      <c r="F33" s="55">
        <f t="shared" si="21"/>
        <v>2992492.3969855784</v>
      </c>
      <c r="G33" s="355">
        <f t="shared" si="22"/>
        <v>492261.82563250477</v>
      </c>
      <c r="H33" s="337">
        <f t="shared" si="23"/>
        <v>492261.82563250477</v>
      </c>
      <c r="I33" s="52">
        <f t="shared" si="5"/>
        <v>0</v>
      </c>
      <c r="J33" s="52"/>
      <c r="K33" s="115"/>
      <c r="L33" s="54">
        <f t="shared" si="24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2992492.3969855784</v>
      </c>
      <c r="E34" s="354">
        <f t="shared" si="20"/>
        <v>133120.75315789474</v>
      </c>
      <c r="F34" s="55">
        <f t="shared" si="21"/>
        <v>2859371.6438276838</v>
      </c>
      <c r="G34" s="355">
        <f t="shared" si="22"/>
        <v>476633.08902785799</v>
      </c>
      <c r="H34" s="337">
        <f t="shared" si="23"/>
        <v>476633.08902785799</v>
      </c>
      <c r="I34" s="52">
        <f t="shared" si="5"/>
        <v>0</v>
      </c>
      <c r="J34" s="52"/>
      <c r="K34" s="115"/>
      <c r="L34" s="54">
        <f t="shared" si="24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2859371.6438276838</v>
      </c>
      <c r="E35" s="354">
        <f t="shared" si="20"/>
        <v>133120.75315789474</v>
      </c>
      <c r="F35" s="55">
        <f t="shared" si="21"/>
        <v>2726250.8906697892</v>
      </c>
      <c r="G35" s="355">
        <f t="shared" si="22"/>
        <v>461004.35242321133</v>
      </c>
      <c r="H35" s="337">
        <f t="shared" si="23"/>
        <v>461004.35242321133</v>
      </c>
      <c r="I35" s="52">
        <f t="shared" si="5"/>
        <v>0</v>
      </c>
      <c r="J35" s="52"/>
      <c r="K35" s="115"/>
      <c r="L35" s="54">
        <f t="shared" si="24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2726250.8906697892</v>
      </c>
      <c r="E36" s="354">
        <f t="shared" si="20"/>
        <v>133120.75315789474</v>
      </c>
      <c r="F36" s="55">
        <f t="shared" si="21"/>
        <v>2593130.1375118946</v>
      </c>
      <c r="G36" s="355">
        <f t="shared" si="22"/>
        <v>445375.61581856443</v>
      </c>
      <c r="H36" s="337">
        <f t="shared" si="23"/>
        <v>445375.61581856443</v>
      </c>
      <c r="I36" s="52">
        <f t="shared" si="5"/>
        <v>0</v>
      </c>
      <c r="J36" s="52"/>
      <c r="K36" s="115"/>
      <c r="L36" s="54">
        <f t="shared" si="24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2593130.1375118946</v>
      </c>
      <c r="E37" s="354">
        <f t="shared" si="20"/>
        <v>133120.75315789474</v>
      </c>
      <c r="F37" s="55">
        <f t="shared" si="21"/>
        <v>2460009.384354</v>
      </c>
      <c r="G37" s="355">
        <f t="shared" si="22"/>
        <v>429746.87921391777</v>
      </c>
      <c r="H37" s="337">
        <f t="shared" si="23"/>
        <v>429746.87921391777</v>
      </c>
      <c r="I37" s="52">
        <f t="shared" si="5"/>
        <v>0</v>
      </c>
      <c r="J37" s="52"/>
      <c r="K37" s="115"/>
      <c r="L37" s="54">
        <f t="shared" si="24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2460009.384354</v>
      </c>
      <c r="E38" s="354">
        <f t="shared" si="20"/>
        <v>133120.75315789474</v>
      </c>
      <c r="F38" s="55">
        <f t="shared" si="21"/>
        <v>2326888.6311961054</v>
      </c>
      <c r="G38" s="355">
        <f t="shared" si="22"/>
        <v>414118.14260927099</v>
      </c>
      <c r="H38" s="337">
        <f t="shared" si="23"/>
        <v>414118.14260927099</v>
      </c>
      <c r="I38" s="52">
        <f t="shared" si="5"/>
        <v>0</v>
      </c>
      <c r="J38" s="52"/>
      <c r="K38" s="115"/>
      <c r="L38" s="54">
        <f t="shared" si="24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2326888.6311961054</v>
      </c>
      <c r="E39" s="354">
        <f t="shared" si="20"/>
        <v>133120.75315789474</v>
      </c>
      <c r="F39" s="55">
        <f t="shared" si="21"/>
        <v>2193767.8780382108</v>
      </c>
      <c r="G39" s="355">
        <f t="shared" si="22"/>
        <v>398489.40600462421</v>
      </c>
      <c r="H39" s="337">
        <f t="shared" si="23"/>
        <v>398489.40600462421</v>
      </c>
      <c r="I39" s="52">
        <f t="shared" si="5"/>
        <v>0</v>
      </c>
      <c r="J39" s="52"/>
      <c r="K39" s="115"/>
      <c r="L39" s="54">
        <f t="shared" si="24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2193767.8780382108</v>
      </c>
      <c r="E40" s="354">
        <f t="shared" si="20"/>
        <v>133120.75315789474</v>
      </c>
      <c r="F40" s="55">
        <f t="shared" si="21"/>
        <v>2060647.124880316</v>
      </c>
      <c r="G40" s="355">
        <f t="shared" si="22"/>
        <v>382860.66939997743</v>
      </c>
      <c r="H40" s="337">
        <f t="shared" si="23"/>
        <v>382860.66939997743</v>
      </c>
      <c r="I40" s="52">
        <f t="shared" si="5"/>
        <v>0</v>
      </c>
      <c r="J40" s="52"/>
      <c r="K40" s="115"/>
      <c r="L40" s="54">
        <f t="shared" si="24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2060647.124880316</v>
      </c>
      <c r="E41" s="354">
        <f t="shared" si="20"/>
        <v>133120.75315789474</v>
      </c>
      <c r="F41" s="55">
        <f t="shared" si="21"/>
        <v>1927526.3717224211</v>
      </c>
      <c r="G41" s="355">
        <f t="shared" si="22"/>
        <v>367231.93279533065</v>
      </c>
      <c r="H41" s="337">
        <f t="shared" si="23"/>
        <v>367231.93279533065</v>
      </c>
      <c r="I41" s="52">
        <f t="shared" si="5"/>
        <v>0</v>
      </c>
      <c r="J41" s="52"/>
      <c r="K41" s="115"/>
      <c r="L41" s="54">
        <f t="shared" si="24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1927526.3717224211</v>
      </c>
      <c r="E42" s="354">
        <f t="shared" si="20"/>
        <v>133120.75315789474</v>
      </c>
      <c r="F42" s="55">
        <f t="shared" si="21"/>
        <v>1794405.6185645263</v>
      </c>
      <c r="G42" s="355">
        <f t="shared" si="22"/>
        <v>351603.19619068387</v>
      </c>
      <c r="H42" s="337">
        <f t="shared" si="23"/>
        <v>351603.19619068387</v>
      </c>
      <c r="I42" s="52">
        <f t="shared" si="5"/>
        <v>0</v>
      </c>
      <c r="J42" s="52"/>
      <c r="K42" s="115"/>
      <c r="L42" s="54">
        <f t="shared" si="24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1794405.6185645263</v>
      </c>
      <c r="E43" s="354">
        <f t="shared" si="20"/>
        <v>133120.75315789474</v>
      </c>
      <c r="F43" s="55">
        <f t="shared" si="21"/>
        <v>1661284.8654066315</v>
      </c>
      <c r="G43" s="355">
        <f t="shared" si="22"/>
        <v>335974.45958603709</v>
      </c>
      <c r="H43" s="337">
        <f t="shared" si="23"/>
        <v>335974.45958603709</v>
      </c>
      <c r="I43" s="52">
        <f t="shared" si="5"/>
        <v>0</v>
      </c>
      <c r="J43" s="52"/>
      <c r="K43" s="115"/>
      <c r="L43" s="54">
        <f t="shared" si="24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1661284.8654066315</v>
      </c>
      <c r="E44" s="354">
        <f t="shared" si="20"/>
        <v>133120.75315789474</v>
      </c>
      <c r="F44" s="55">
        <f t="shared" si="21"/>
        <v>1528164.1122487367</v>
      </c>
      <c r="G44" s="355">
        <f t="shared" si="22"/>
        <v>320345.72298139031</v>
      </c>
      <c r="H44" s="337">
        <f t="shared" si="23"/>
        <v>320345.72298139031</v>
      </c>
      <c r="I44" s="52">
        <f t="shared" si="5"/>
        <v>0</v>
      </c>
      <c r="J44" s="52"/>
      <c r="K44" s="115"/>
      <c r="L44" s="54">
        <f t="shared" si="24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1528164.1122487367</v>
      </c>
      <c r="E45" s="354">
        <f t="shared" si="20"/>
        <v>133120.75315789474</v>
      </c>
      <c r="F45" s="55">
        <f t="shared" si="21"/>
        <v>1395043.3590908418</v>
      </c>
      <c r="G45" s="355">
        <f t="shared" si="22"/>
        <v>304716.98637674353</v>
      </c>
      <c r="H45" s="337">
        <f t="shared" si="23"/>
        <v>304716.98637674353</v>
      </c>
      <c r="I45" s="52">
        <f t="shared" si="5"/>
        <v>0</v>
      </c>
      <c r="J45" s="52"/>
      <c r="K45" s="115"/>
      <c r="L45" s="54">
        <f t="shared" si="24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1395043.3590908418</v>
      </c>
      <c r="E46" s="354">
        <f t="shared" si="20"/>
        <v>133120.75315789474</v>
      </c>
      <c r="F46" s="55">
        <f t="shared" si="21"/>
        <v>1261922.605932947</v>
      </c>
      <c r="G46" s="355">
        <f t="shared" si="22"/>
        <v>289088.24977209675</v>
      </c>
      <c r="H46" s="337">
        <f t="shared" si="23"/>
        <v>289088.24977209675</v>
      </c>
      <c r="I46" s="52">
        <f t="shared" si="5"/>
        <v>0</v>
      </c>
      <c r="J46" s="52"/>
      <c r="K46" s="115"/>
      <c r="L46" s="54">
        <f t="shared" si="24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1261922.605932947</v>
      </c>
      <c r="E47" s="354">
        <f t="shared" si="20"/>
        <v>133120.75315789474</v>
      </c>
      <c r="F47" s="55">
        <f t="shared" si="21"/>
        <v>1128801.8527750522</v>
      </c>
      <c r="G47" s="355">
        <f t="shared" si="22"/>
        <v>273459.51316744997</v>
      </c>
      <c r="H47" s="337">
        <f t="shared" si="23"/>
        <v>273459.51316744997</v>
      </c>
      <c r="I47" s="52">
        <f t="shared" si="5"/>
        <v>0</v>
      </c>
      <c r="J47" s="52"/>
      <c r="K47" s="115"/>
      <c r="L47" s="54">
        <f t="shared" si="24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1128801.8527750522</v>
      </c>
      <c r="E48" s="354">
        <f t="shared" si="20"/>
        <v>133120.75315789474</v>
      </c>
      <c r="F48" s="55">
        <f t="shared" si="21"/>
        <v>995681.09961715748</v>
      </c>
      <c r="G48" s="355">
        <f t="shared" si="22"/>
        <v>257830.77656280319</v>
      </c>
      <c r="H48" s="337">
        <f t="shared" si="23"/>
        <v>257830.77656280319</v>
      </c>
      <c r="I48" s="52">
        <f t="shared" si="5"/>
        <v>0</v>
      </c>
      <c r="J48" s="52"/>
      <c r="K48" s="115"/>
      <c r="L48" s="54">
        <f t="shared" si="24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22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995681.09961715748</v>
      </c>
      <c r="E49" s="354">
        <f t="shared" si="20"/>
        <v>133120.75315789474</v>
      </c>
      <c r="F49" s="55">
        <f t="shared" si="21"/>
        <v>862560.34645926277</v>
      </c>
      <c r="G49" s="355">
        <f t="shared" si="22"/>
        <v>242202.03995815638</v>
      </c>
      <c r="H49" s="337">
        <f t="shared" si="23"/>
        <v>242202.03995815638</v>
      </c>
      <c r="I49" s="52">
        <f t="shared" si="5"/>
        <v>0</v>
      </c>
      <c r="J49" s="52"/>
      <c r="K49" s="115"/>
      <c r="L49" s="54">
        <f t="shared" si="24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22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862560.34645926277</v>
      </c>
      <c r="E50" s="354">
        <f t="shared" si="20"/>
        <v>133120.75315789474</v>
      </c>
      <c r="F50" s="55">
        <f t="shared" si="21"/>
        <v>729439.59330136806</v>
      </c>
      <c r="G50" s="355">
        <f t="shared" si="22"/>
        <v>226573.30335350963</v>
      </c>
      <c r="H50" s="337">
        <f t="shared" si="23"/>
        <v>226573.30335350963</v>
      </c>
      <c r="I50" s="52">
        <f t="shared" si="5"/>
        <v>0</v>
      </c>
      <c r="J50" s="52"/>
      <c r="K50" s="115"/>
      <c r="L50" s="54">
        <f t="shared" si="24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22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729439.59330136806</v>
      </c>
      <c r="E51" s="354">
        <f t="shared" si="20"/>
        <v>133120.75315789474</v>
      </c>
      <c r="F51" s="55">
        <f t="shared" si="21"/>
        <v>596318.84014347335</v>
      </c>
      <c r="G51" s="355">
        <f t="shared" si="22"/>
        <v>210944.56674886285</v>
      </c>
      <c r="H51" s="337">
        <f t="shared" si="23"/>
        <v>210944.56674886285</v>
      </c>
      <c r="I51" s="52">
        <f t="shared" si="5"/>
        <v>0</v>
      </c>
      <c r="J51" s="52"/>
      <c r="K51" s="115"/>
      <c r="L51" s="54">
        <f t="shared" si="24"/>
        <v>0</v>
      </c>
      <c r="M51" s="115"/>
      <c r="N51" s="54">
        <f t="shared" si="3"/>
        <v>0</v>
      </c>
      <c r="O51" s="54">
        <f t="shared" si="4"/>
        <v>0</v>
      </c>
      <c r="P51" s="1"/>
      <c r="V51" t="s">
        <v>455</v>
      </c>
    </row>
    <row r="52" spans="2:22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596318.84014347335</v>
      </c>
      <c r="E52" s="354">
        <f t="shared" si="20"/>
        <v>133120.75315789474</v>
      </c>
      <c r="F52" s="55">
        <f t="shared" si="21"/>
        <v>463198.08698557864</v>
      </c>
      <c r="G52" s="355">
        <f t="shared" si="22"/>
        <v>195315.83014421607</v>
      </c>
      <c r="H52" s="337">
        <f t="shared" si="23"/>
        <v>195315.83014421607</v>
      </c>
      <c r="I52" s="52">
        <f t="shared" si="5"/>
        <v>0</v>
      </c>
      <c r="J52" s="52"/>
      <c r="K52" s="115"/>
      <c r="L52" s="54">
        <f t="shared" si="24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22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463198.08698557864</v>
      </c>
      <c r="E53" s="354">
        <f t="shared" si="20"/>
        <v>133120.75315789474</v>
      </c>
      <c r="F53" s="55">
        <f t="shared" si="21"/>
        <v>330077.33382768393</v>
      </c>
      <c r="G53" s="355">
        <f t="shared" si="22"/>
        <v>179687.09353956929</v>
      </c>
      <c r="H53" s="337">
        <f t="shared" si="23"/>
        <v>179687.09353956929</v>
      </c>
      <c r="I53" s="52">
        <f t="shared" si="5"/>
        <v>0</v>
      </c>
      <c r="J53" s="52"/>
      <c r="K53" s="115"/>
      <c r="L53" s="54">
        <f t="shared" si="24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22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330077.33382768393</v>
      </c>
      <c r="E54" s="354">
        <f t="shared" si="20"/>
        <v>133120.75315789474</v>
      </c>
      <c r="F54" s="55">
        <f t="shared" si="21"/>
        <v>196956.5806697892</v>
      </c>
      <c r="G54" s="355">
        <f t="shared" si="22"/>
        <v>164058.35693492254</v>
      </c>
      <c r="H54" s="337">
        <f t="shared" si="23"/>
        <v>164058.35693492254</v>
      </c>
      <c r="I54" s="52">
        <f t="shared" si="5"/>
        <v>0</v>
      </c>
      <c r="J54" s="52"/>
      <c r="K54" s="115"/>
      <c r="L54" s="54">
        <f t="shared" si="24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22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196956.5806697892</v>
      </c>
      <c r="E55" s="354">
        <f t="shared" si="20"/>
        <v>133120.75315789474</v>
      </c>
      <c r="F55" s="55">
        <f t="shared" si="21"/>
        <v>63835.827511894458</v>
      </c>
      <c r="G55" s="355">
        <f t="shared" si="22"/>
        <v>148429.62033027576</v>
      </c>
      <c r="H55" s="337">
        <f t="shared" si="23"/>
        <v>148429.62033027576</v>
      </c>
      <c r="I55" s="52">
        <f t="shared" si="5"/>
        <v>0</v>
      </c>
      <c r="J55" s="52"/>
      <c r="K55" s="115"/>
      <c r="L55" s="54">
        <f t="shared" si="24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22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63835.827511894458</v>
      </c>
      <c r="E56" s="354">
        <f t="shared" si="20"/>
        <v>63835.827511894458</v>
      </c>
      <c r="F56" s="55">
        <f t="shared" si="21"/>
        <v>0</v>
      </c>
      <c r="G56" s="355">
        <f t="shared" si="22"/>
        <v>67583.076946923276</v>
      </c>
      <c r="H56" s="337">
        <f t="shared" si="23"/>
        <v>67583.076946923276</v>
      </c>
      <c r="I56" s="52">
        <f t="shared" si="5"/>
        <v>0</v>
      </c>
      <c r="J56" s="52"/>
      <c r="K56" s="115"/>
      <c r="L56" s="54">
        <f t="shared" si="24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22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20"/>
        <v>0</v>
      </c>
      <c r="F57" s="55">
        <f t="shared" si="21"/>
        <v>0</v>
      </c>
      <c r="G57" s="355">
        <f t="shared" si="22"/>
        <v>0</v>
      </c>
      <c r="H57" s="337">
        <f t="shared" si="23"/>
        <v>0</v>
      </c>
      <c r="I57" s="52">
        <f t="shared" si="5"/>
        <v>0</v>
      </c>
      <c r="J57" s="52"/>
      <c r="K57" s="115"/>
      <c r="L57" s="54">
        <f t="shared" si="24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22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20"/>
        <v>0</v>
      </c>
      <c r="F58" s="55">
        <f t="shared" si="21"/>
        <v>0</v>
      </c>
      <c r="G58" s="355">
        <f t="shared" si="22"/>
        <v>0</v>
      </c>
      <c r="H58" s="337">
        <f t="shared" si="23"/>
        <v>0</v>
      </c>
      <c r="I58" s="52">
        <f t="shared" si="5"/>
        <v>0</v>
      </c>
      <c r="J58" s="52"/>
      <c r="K58" s="115"/>
      <c r="L58" s="54">
        <f t="shared" si="24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22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20"/>
        <v>0</v>
      </c>
      <c r="F59" s="55">
        <f t="shared" si="21"/>
        <v>0</v>
      </c>
      <c r="G59" s="355">
        <f t="shared" si="22"/>
        <v>0</v>
      </c>
      <c r="H59" s="337">
        <f t="shared" si="23"/>
        <v>0</v>
      </c>
      <c r="I59" s="52">
        <f t="shared" si="5"/>
        <v>0</v>
      </c>
      <c r="J59" s="52"/>
      <c r="K59" s="115"/>
      <c r="L59" s="54">
        <f t="shared" si="24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22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20"/>
        <v>0</v>
      </c>
      <c r="F60" s="55">
        <f t="shared" si="21"/>
        <v>0</v>
      </c>
      <c r="G60" s="355">
        <f t="shared" si="22"/>
        <v>0</v>
      </c>
      <c r="H60" s="337">
        <f t="shared" si="23"/>
        <v>0</v>
      </c>
      <c r="I60" s="52">
        <f t="shared" si="5"/>
        <v>0</v>
      </c>
      <c r="J60" s="52"/>
      <c r="K60" s="115"/>
      <c r="L60" s="54">
        <f t="shared" si="24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22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20"/>
        <v>0</v>
      </c>
      <c r="F61" s="55">
        <f t="shared" si="21"/>
        <v>0</v>
      </c>
      <c r="G61" s="355">
        <f t="shared" si="22"/>
        <v>0</v>
      </c>
      <c r="H61" s="337">
        <f t="shared" si="23"/>
        <v>0</v>
      </c>
      <c r="I61" s="52">
        <f t="shared" si="5"/>
        <v>0</v>
      </c>
      <c r="J61" s="52"/>
      <c r="K61" s="115"/>
      <c r="L61" s="54">
        <f t="shared" si="24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22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20"/>
        <v>0</v>
      </c>
      <c r="F62" s="55">
        <f t="shared" si="21"/>
        <v>0</v>
      </c>
      <c r="G62" s="355">
        <f t="shared" si="22"/>
        <v>0</v>
      </c>
      <c r="H62" s="337">
        <f t="shared" si="23"/>
        <v>0</v>
      </c>
      <c r="I62" s="52">
        <f t="shared" si="5"/>
        <v>0</v>
      </c>
      <c r="J62" s="52"/>
      <c r="K62" s="115"/>
      <c r="L62" s="54">
        <f t="shared" si="24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22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20"/>
        <v>0</v>
      </c>
      <c r="F63" s="55">
        <f t="shared" si="21"/>
        <v>0</v>
      </c>
      <c r="G63" s="355">
        <f t="shared" si="22"/>
        <v>0</v>
      </c>
      <c r="H63" s="337">
        <f t="shared" si="23"/>
        <v>0</v>
      </c>
      <c r="I63" s="52">
        <f t="shared" si="5"/>
        <v>0</v>
      </c>
      <c r="J63" s="52"/>
      <c r="K63" s="115"/>
      <c r="L63" s="54">
        <f t="shared" si="24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22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20"/>
        <v>0</v>
      </c>
      <c r="F64" s="55">
        <f t="shared" si="21"/>
        <v>0</v>
      </c>
      <c r="G64" s="355">
        <f t="shared" si="22"/>
        <v>0</v>
      </c>
      <c r="H64" s="337">
        <f t="shared" si="23"/>
        <v>0</v>
      </c>
      <c r="I64" s="52">
        <f t="shared" si="5"/>
        <v>0</v>
      </c>
      <c r="J64" s="52"/>
      <c r="K64" s="115"/>
      <c r="L64" s="54">
        <f t="shared" si="24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20"/>
        <v>0</v>
      </c>
      <c r="F65" s="55">
        <f t="shared" si="21"/>
        <v>0</v>
      </c>
      <c r="G65" s="355">
        <f t="shared" si="22"/>
        <v>0</v>
      </c>
      <c r="H65" s="337">
        <f t="shared" si="23"/>
        <v>0</v>
      </c>
      <c r="I65" s="52">
        <f t="shared" si="5"/>
        <v>0</v>
      </c>
      <c r="J65" s="52"/>
      <c r="K65" s="115"/>
      <c r="L65" s="54">
        <f t="shared" si="24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20"/>
        <v>0</v>
      </c>
      <c r="F66" s="55">
        <f t="shared" si="21"/>
        <v>0</v>
      </c>
      <c r="G66" s="355">
        <f t="shared" si="22"/>
        <v>0</v>
      </c>
      <c r="H66" s="337">
        <f t="shared" si="23"/>
        <v>0</v>
      </c>
      <c r="I66" s="52">
        <f t="shared" si="5"/>
        <v>0</v>
      </c>
      <c r="J66" s="52"/>
      <c r="K66" s="115"/>
      <c r="L66" s="54">
        <f t="shared" si="24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20"/>
        <v>0</v>
      </c>
      <c r="F67" s="55">
        <f t="shared" si="21"/>
        <v>0</v>
      </c>
      <c r="G67" s="355">
        <f t="shared" si="22"/>
        <v>0</v>
      </c>
      <c r="H67" s="337">
        <f t="shared" si="23"/>
        <v>0</v>
      </c>
      <c r="I67" s="52">
        <f t="shared" si="5"/>
        <v>0</v>
      </c>
      <c r="J67" s="52"/>
      <c r="K67" s="115"/>
      <c r="L67" s="54">
        <f t="shared" si="24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20"/>
        <v>0</v>
      </c>
      <c r="F68" s="55">
        <f t="shared" si="21"/>
        <v>0</v>
      </c>
      <c r="G68" s="355">
        <f t="shared" si="22"/>
        <v>0</v>
      </c>
      <c r="H68" s="337">
        <f t="shared" si="23"/>
        <v>0</v>
      </c>
      <c r="I68" s="52">
        <f t="shared" si="5"/>
        <v>0</v>
      </c>
      <c r="J68" s="52"/>
      <c r="K68" s="115"/>
      <c r="L68" s="54">
        <f t="shared" si="24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20"/>
        <v>0</v>
      </c>
      <c r="F69" s="55">
        <f t="shared" si="21"/>
        <v>0</v>
      </c>
      <c r="G69" s="355">
        <f t="shared" si="22"/>
        <v>0</v>
      </c>
      <c r="H69" s="337">
        <f t="shared" si="23"/>
        <v>0</v>
      </c>
      <c r="I69" s="52">
        <f t="shared" si="5"/>
        <v>0</v>
      </c>
      <c r="J69" s="52"/>
      <c r="K69" s="115"/>
      <c r="L69" s="54">
        <f t="shared" si="24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20"/>
        <v>0</v>
      </c>
      <c r="F70" s="55">
        <f t="shared" si="21"/>
        <v>0</v>
      </c>
      <c r="G70" s="355">
        <f t="shared" si="22"/>
        <v>0</v>
      </c>
      <c r="H70" s="337">
        <f t="shared" si="23"/>
        <v>0</v>
      </c>
      <c r="I70" s="52">
        <f t="shared" si="5"/>
        <v>0</v>
      </c>
      <c r="J70" s="52"/>
      <c r="K70" s="115"/>
      <c r="L70" s="54">
        <f t="shared" si="24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20"/>
        <v>0</v>
      </c>
      <c r="F71" s="55">
        <f t="shared" si="21"/>
        <v>0</v>
      </c>
      <c r="G71" s="355">
        <f t="shared" si="22"/>
        <v>0</v>
      </c>
      <c r="H71" s="337">
        <f t="shared" si="23"/>
        <v>0</v>
      </c>
      <c r="I71" s="52">
        <f t="shared" si="5"/>
        <v>0</v>
      </c>
      <c r="J71" s="52"/>
      <c r="K71" s="115"/>
      <c r="L71" s="54">
        <f t="shared" si="24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24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5058588.6200000029</v>
      </c>
      <c r="F73" s="267"/>
      <c r="G73" s="267">
        <f>SUM(G17:G72)</f>
        <v>16598516.435660064</v>
      </c>
      <c r="H73" s="267">
        <f>SUM(H17:H72)</f>
        <v>16598516.435660064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27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647610.96322305209</v>
      </c>
      <c r="N87" s="364">
        <f>IF(J92&lt;D11,0,VLOOKUP(J92,C17:O72,11))</f>
        <v>647610.96322305209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724388.04764792242</v>
      </c>
      <c r="N88" s="367">
        <f>IF(J92&lt;D11,0,VLOOKUP(J92,C99:P154,7))</f>
        <v>724388.04764792242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Broken Arrow North-Lynn Lane East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76777.084424870322</v>
      </c>
      <c r="N89" s="369">
        <f>+N88-N87</f>
        <v>76777.084424870322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TP2017016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5058589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136719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2019</v>
      </c>
      <c r="D99" s="411">
        <v>0</v>
      </c>
      <c r="E99" s="433">
        <v>92534.25</v>
      </c>
      <c r="F99" s="411">
        <v>4965987.75</v>
      </c>
      <c r="G99" s="433">
        <v>2482993.875</v>
      </c>
      <c r="H99" s="414">
        <v>348565.74518479535</v>
      </c>
      <c r="I99" s="432">
        <v>348565.74518479535</v>
      </c>
      <c r="J99" s="54">
        <f>+I99-H99</f>
        <v>0</v>
      </c>
      <c r="K99" s="54"/>
      <c r="L99" s="53">
        <f>+H99</f>
        <v>348565.74518479535</v>
      </c>
      <c r="M99" s="53">
        <f t="shared" ref="M99" si="25">IF(L99&lt;&gt;0,+H99-L99,0)</f>
        <v>0</v>
      </c>
      <c r="N99" s="53">
        <f>+I99</f>
        <v>348565.74518479535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05">
        <v>4966054.75</v>
      </c>
      <c r="E100" s="406">
        <v>117642</v>
      </c>
      <c r="F100" s="405">
        <v>4848412.75</v>
      </c>
      <c r="G100" s="406">
        <v>4907233.75</v>
      </c>
      <c r="H100" s="428">
        <v>683432.56004823186</v>
      </c>
      <c r="I100" s="405">
        <v>683432.56004823186</v>
      </c>
      <c r="J100" s="54">
        <f t="shared" ref="J100:J130" si="28">+I100-H100</f>
        <v>0</v>
      </c>
      <c r="K100" s="54"/>
      <c r="L100" s="324">
        <f>H100</f>
        <v>683432.56004823186</v>
      </c>
      <c r="M100" s="63">
        <f>IF(L100&lt;&gt;0,+H100-L100,0)</f>
        <v>0</v>
      </c>
      <c r="N100" s="324">
        <f>I100</f>
        <v>683432.56004823186</v>
      </c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2021</v>
      </c>
      <c r="D101" s="405">
        <v>4848412.75</v>
      </c>
      <c r="E101" s="406">
        <v>123380</v>
      </c>
      <c r="F101" s="405">
        <v>4725032.75</v>
      </c>
      <c r="G101" s="406">
        <v>4786722.75</v>
      </c>
      <c r="H101" s="428">
        <v>668074.55118974927</v>
      </c>
      <c r="I101" s="405">
        <v>668074.55118974927</v>
      </c>
      <c r="J101" s="54">
        <f t="shared" si="28"/>
        <v>0</v>
      </c>
      <c r="K101" s="54"/>
      <c r="L101" s="324">
        <f>H101</f>
        <v>668074.55118974927</v>
      </c>
      <c r="M101" s="63">
        <f>IF(L101&lt;&gt;0,+H101-L101,0)</f>
        <v>0</v>
      </c>
      <c r="N101" s="324">
        <f>I101</f>
        <v>668074.55118974927</v>
      </c>
      <c r="O101" s="54">
        <f t="shared" ref="O101" si="30">IF(N101&lt;&gt;0,+I101-N101,0)</f>
        <v>0</v>
      </c>
      <c r="P101" s="54">
        <f t="shared" ref="P101" si="31">+O101-M101</f>
        <v>0</v>
      </c>
    </row>
    <row r="102" spans="1:16" ht="12.5">
      <c r="B102" s="7" t="str">
        <f t="shared" si="29"/>
        <v/>
      </c>
      <c r="C102" s="450">
        <f>IF(D93="","-",+C101+1)</f>
        <v>2022</v>
      </c>
      <c r="D102" s="405">
        <v>4725032.75</v>
      </c>
      <c r="E102" s="406">
        <v>129707</v>
      </c>
      <c r="F102" s="405">
        <v>4595325.75</v>
      </c>
      <c r="G102" s="406">
        <v>4660179.25</v>
      </c>
      <c r="H102" s="428">
        <v>643177.91264105588</v>
      </c>
      <c r="I102" s="405">
        <v>643177.91264105588</v>
      </c>
      <c r="J102" s="54">
        <f t="shared" si="28"/>
        <v>0</v>
      </c>
      <c r="K102" s="54"/>
      <c r="L102" s="324">
        <f t="shared" ref="L102:L103" si="32">H102</f>
        <v>643177.91264105588</v>
      </c>
      <c r="M102" s="63">
        <f t="shared" ref="M102:M103" si="33">IF(L102&lt;&gt;0,+H102-L102,0)</f>
        <v>0</v>
      </c>
      <c r="N102" s="324">
        <f t="shared" ref="N102:N103" si="34">I102</f>
        <v>643177.91264105588</v>
      </c>
      <c r="O102" s="54">
        <f t="shared" ref="O102:O103" si="35">IF(N102&lt;&gt;0,+I102-N102,0)</f>
        <v>0</v>
      </c>
      <c r="P102" s="54">
        <f t="shared" si="27"/>
        <v>0</v>
      </c>
    </row>
    <row r="103" spans="1:16" ht="12.5">
      <c r="B103" s="7" t="str">
        <f t="shared" si="29"/>
        <v/>
      </c>
      <c r="C103" s="50">
        <f>IF(D93="","-",+C102+1)</f>
        <v>2023</v>
      </c>
      <c r="D103" s="405">
        <v>4595325.75</v>
      </c>
      <c r="E103" s="406">
        <v>133121</v>
      </c>
      <c r="F103" s="405">
        <v>4462204.75</v>
      </c>
      <c r="G103" s="406">
        <v>4528765.25</v>
      </c>
      <c r="H103" s="428">
        <v>650428.508487463</v>
      </c>
      <c r="I103" s="405">
        <v>650428.508487463</v>
      </c>
      <c r="J103" s="54">
        <f t="shared" si="28"/>
        <v>0</v>
      </c>
      <c r="K103" s="54"/>
      <c r="L103" s="324">
        <f t="shared" si="32"/>
        <v>650428.508487463</v>
      </c>
      <c r="M103" s="63">
        <f t="shared" si="33"/>
        <v>0</v>
      </c>
      <c r="N103" s="324">
        <f t="shared" si="34"/>
        <v>650428.508487463</v>
      </c>
      <c r="O103" s="54">
        <f t="shared" si="35"/>
        <v>0</v>
      </c>
      <c r="P103" s="54">
        <f t="shared" si="27"/>
        <v>0</v>
      </c>
    </row>
    <row r="104" spans="1:16" ht="12.5">
      <c r="B104" s="7" t="str">
        <f t="shared" si="29"/>
        <v>IU</v>
      </c>
      <c r="C104" s="50">
        <f>IF(D93="","-",+C103+1)</f>
        <v>2024</v>
      </c>
      <c r="D104" s="405">
        <v>4468531.37</v>
      </c>
      <c r="E104" s="406">
        <v>133121</v>
      </c>
      <c r="F104" s="405">
        <v>4335410.37</v>
      </c>
      <c r="G104" s="406">
        <v>4401970.87</v>
      </c>
      <c r="H104" s="428">
        <v>724388.04764792242</v>
      </c>
      <c r="I104" s="405">
        <v>724388.04764792242</v>
      </c>
      <c r="J104" s="54">
        <f t="shared" si="28"/>
        <v>0</v>
      </c>
      <c r="K104" s="54"/>
      <c r="L104" s="324">
        <f t="shared" ref="L104" si="36">H104</f>
        <v>724388.04764792242</v>
      </c>
      <c r="M104" s="63">
        <f t="shared" ref="M104" si="37">IF(L104&lt;&gt;0,+H104-L104,0)</f>
        <v>0</v>
      </c>
      <c r="N104" s="324">
        <f t="shared" ref="N104" si="38">I104</f>
        <v>724388.04764792242</v>
      </c>
      <c r="O104" s="54">
        <f t="shared" ref="O104" si="39">IF(N104&lt;&gt;0,+I104-N104,0)</f>
        <v>0</v>
      </c>
      <c r="P104" s="54">
        <f t="shared" ref="P104" si="40">+O104-M104</f>
        <v>0</v>
      </c>
    </row>
    <row r="105" spans="1:16" ht="12.5">
      <c r="B105" s="7" t="str">
        <f t="shared" si="29"/>
        <v>IU</v>
      </c>
      <c r="C105" s="50">
        <f>IF(D93="","-",+C104+1)</f>
        <v>2025</v>
      </c>
      <c r="D105" s="12">
        <f>IF(F104+SUM(E$99:E104)=D$92,F104,D$92-SUM(E$99:E104))</f>
        <v>4329083.75</v>
      </c>
      <c r="E105" s="354">
        <f t="shared" ref="E105:E154" si="41">IF(+J$96&lt;F104,J$96,D105)</f>
        <v>136719</v>
      </c>
      <c r="F105" s="55">
        <f t="shared" ref="F105:F154" si="42">+D105-E105</f>
        <v>4192364.75</v>
      </c>
      <c r="G105" s="55">
        <f t="shared" ref="G105:G154" si="43">+(F105+D105)/2</f>
        <v>4260724.25</v>
      </c>
      <c r="H105" s="436">
        <f t="shared" ref="H105:H154" si="44">+J$94*G105+E105</f>
        <v>709013.98389193299</v>
      </c>
      <c r="I105" s="437">
        <f t="shared" ref="I105:I154" si="45">+J$95*G105+E105</f>
        <v>709013.98389193299</v>
      </c>
      <c r="J105" s="54">
        <f t="shared" si="28"/>
        <v>0</v>
      </c>
      <c r="K105" s="54"/>
      <c r="L105" s="115"/>
      <c r="M105" s="54">
        <f t="shared" ref="M105:M130" si="46">IF(L105&lt;&gt;0,+H105-L105,0)</f>
        <v>0</v>
      </c>
      <c r="N105" s="115"/>
      <c r="O105" s="54">
        <f t="shared" si="26"/>
        <v>0</v>
      </c>
      <c r="P105" s="54">
        <f t="shared" si="27"/>
        <v>0</v>
      </c>
    </row>
    <row r="106" spans="1:16" ht="12.5">
      <c r="B106" s="7" t="str">
        <f t="shared" si="29"/>
        <v/>
      </c>
      <c r="C106" s="50">
        <f>IF(D93="","-",+C105+1)</f>
        <v>2026</v>
      </c>
      <c r="D106" s="12">
        <f>IF(F105+SUM(E$99:E105)=D$92,F105,D$92-SUM(E$99:E105))</f>
        <v>4192364.75</v>
      </c>
      <c r="E106" s="354">
        <f t="shared" si="41"/>
        <v>136719</v>
      </c>
      <c r="F106" s="55">
        <f t="shared" si="42"/>
        <v>4055645.75</v>
      </c>
      <c r="G106" s="55">
        <f t="shared" si="43"/>
        <v>4124005.25</v>
      </c>
      <c r="H106" s="436">
        <f t="shared" si="44"/>
        <v>690650.06421261537</v>
      </c>
      <c r="I106" s="437">
        <f t="shared" si="45"/>
        <v>690650.06421261537</v>
      </c>
      <c r="J106" s="54">
        <f t="shared" si="28"/>
        <v>0</v>
      </c>
      <c r="K106" s="54"/>
      <c r="L106" s="115"/>
      <c r="M106" s="54">
        <f t="shared" si="46"/>
        <v>0</v>
      </c>
      <c r="N106" s="115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9"/>
        <v/>
      </c>
      <c r="C107" s="50">
        <f>IF(D93="","-",+C106+1)</f>
        <v>2027</v>
      </c>
      <c r="D107" s="12">
        <f>IF(F106+SUM(E$99:E106)=D$92,F106,D$92-SUM(E$99:E106))</f>
        <v>4055645.75</v>
      </c>
      <c r="E107" s="354">
        <f t="shared" si="41"/>
        <v>136719</v>
      </c>
      <c r="F107" s="55">
        <f t="shared" si="42"/>
        <v>3918926.75</v>
      </c>
      <c r="G107" s="55">
        <f t="shared" si="43"/>
        <v>3987286.25</v>
      </c>
      <c r="H107" s="436">
        <f t="shared" si="44"/>
        <v>672286.14453329763</v>
      </c>
      <c r="I107" s="437">
        <f t="shared" si="45"/>
        <v>672286.14453329763</v>
      </c>
      <c r="J107" s="54">
        <f t="shared" si="28"/>
        <v>0</v>
      </c>
      <c r="K107" s="54"/>
      <c r="L107" s="115"/>
      <c r="M107" s="54">
        <f t="shared" si="46"/>
        <v>0</v>
      </c>
      <c r="N107" s="115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9"/>
        <v/>
      </c>
      <c r="C108" s="50">
        <f>IF(D93="","-",+C107+1)</f>
        <v>2028</v>
      </c>
      <c r="D108" s="12">
        <f>IF(F107+SUM(E$99:E107)=D$92,F107,D$92-SUM(E$99:E107))</f>
        <v>3918926.75</v>
      </c>
      <c r="E108" s="354">
        <f t="shared" si="41"/>
        <v>136719</v>
      </c>
      <c r="F108" s="55">
        <f t="shared" si="42"/>
        <v>3782207.75</v>
      </c>
      <c r="G108" s="55">
        <f t="shared" si="43"/>
        <v>3850567.25</v>
      </c>
      <c r="H108" s="436">
        <f t="shared" si="44"/>
        <v>653922.22485397989</v>
      </c>
      <c r="I108" s="437">
        <f t="shared" si="45"/>
        <v>653922.22485397989</v>
      </c>
      <c r="J108" s="54">
        <f t="shared" si="28"/>
        <v>0</v>
      </c>
      <c r="K108" s="54"/>
      <c r="L108" s="115"/>
      <c r="M108" s="54">
        <f t="shared" si="46"/>
        <v>0</v>
      </c>
      <c r="N108" s="115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9"/>
        <v/>
      </c>
      <c r="C109" s="50">
        <f>IF(D93="","-",+C108+1)</f>
        <v>2029</v>
      </c>
      <c r="D109" s="12">
        <f>IF(F108+SUM(E$99:E108)=D$92,F108,D$92-SUM(E$99:E108))</f>
        <v>3782207.75</v>
      </c>
      <c r="E109" s="354">
        <f t="shared" si="41"/>
        <v>136719</v>
      </c>
      <c r="F109" s="55">
        <f t="shared" si="42"/>
        <v>3645488.75</v>
      </c>
      <c r="G109" s="55">
        <f t="shared" si="43"/>
        <v>3713848.25</v>
      </c>
      <c r="H109" s="436">
        <f t="shared" si="44"/>
        <v>635558.30517466227</v>
      </c>
      <c r="I109" s="437">
        <f t="shared" si="45"/>
        <v>635558.30517466227</v>
      </c>
      <c r="J109" s="54">
        <f t="shared" si="28"/>
        <v>0</v>
      </c>
      <c r="K109" s="54"/>
      <c r="L109" s="115"/>
      <c r="M109" s="54">
        <f t="shared" si="46"/>
        <v>0</v>
      </c>
      <c r="N109" s="115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9"/>
        <v/>
      </c>
      <c r="C110" s="50">
        <f>IF(D93="","-",+C109+1)</f>
        <v>2030</v>
      </c>
      <c r="D110" s="12">
        <f>IF(F109+SUM(E$99:E109)=D$92,F109,D$92-SUM(E$99:E109))</f>
        <v>3645488.75</v>
      </c>
      <c r="E110" s="354">
        <f t="shared" si="41"/>
        <v>136719</v>
      </c>
      <c r="F110" s="55">
        <f t="shared" si="42"/>
        <v>3508769.75</v>
      </c>
      <c r="G110" s="55">
        <f t="shared" si="43"/>
        <v>3577129.25</v>
      </c>
      <c r="H110" s="436">
        <f t="shared" si="44"/>
        <v>617194.38549534441</v>
      </c>
      <c r="I110" s="437">
        <f t="shared" si="45"/>
        <v>617194.38549534441</v>
      </c>
      <c r="J110" s="54">
        <f t="shared" si="28"/>
        <v>0</v>
      </c>
      <c r="K110" s="54"/>
      <c r="L110" s="115"/>
      <c r="M110" s="54">
        <f t="shared" si="46"/>
        <v>0</v>
      </c>
      <c r="N110" s="115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9"/>
        <v/>
      </c>
      <c r="C111" s="50">
        <f>IF(D93="","-",+C110+1)</f>
        <v>2031</v>
      </c>
      <c r="D111" s="12">
        <f>IF(F110+SUM(E$99:E110)=D$92,F110,D$92-SUM(E$99:E110))</f>
        <v>3508769.75</v>
      </c>
      <c r="E111" s="354">
        <f t="shared" si="41"/>
        <v>136719</v>
      </c>
      <c r="F111" s="55">
        <f t="shared" si="42"/>
        <v>3372050.75</v>
      </c>
      <c r="G111" s="55">
        <f t="shared" si="43"/>
        <v>3440410.25</v>
      </c>
      <c r="H111" s="436">
        <f t="shared" si="44"/>
        <v>598830.46581602679</v>
      </c>
      <c r="I111" s="437">
        <f t="shared" si="45"/>
        <v>598830.46581602679</v>
      </c>
      <c r="J111" s="54">
        <f t="shared" si="28"/>
        <v>0</v>
      </c>
      <c r="K111" s="54"/>
      <c r="L111" s="115"/>
      <c r="M111" s="54">
        <f t="shared" si="46"/>
        <v>0</v>
      </c>
      <c r="N111" s="115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9"/>
        <v/>
      </c>
      <c r="C112" s="50">
        <f>IF(D93="","-",+C111+1)</f>
        <v>2032</v>
      </c>
      <c r="D112" s="12">
        <f>IF(F111+SUM(E$99:E111)=D$92,F111,D$92-SUM(E$99:E111))</f>
        <v>3372050.75</v>
      </c>
      <c r="E112" s="354">
        <f t="shared" si="41"/>
        <v>136719</v>
      </c>
      <c r="F112" s="55">
        <f t="shared" si="42"/>
        <v>3235331.75</v>
      </c>
      <c r="G112" s="55">
        <f t="shared" si="43"/>
        <v>3303691.25</v>
      </c>
      <c r="H112" s="436">
        <f t="shared" si="44"/>
        <v>580466.54613670905</v>
      </c>
      <c r="I112" s="437">
        <f t="shared" si="45"/>
        <v>580466.54613670905</v>
      </c>
      <c r="J112" s="54">
        <f t="shared" si="28"/>
        <v>0</v>
      </c>
      <c r="K112" s="54"/>
      <c r="L112" s="115"/>
      <c r="M112" s="54">
        <f t="shared" si="46"/>
        <v>0</v>
      </c>
      <c r="N112" s="115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9"/>
        <v/>
      </c>
      <c r="C113" s="50">
        <f>IF(D93="","-",+C112+1)</f>
        <v>2033</v>
      </c>
      <c r="D113" s="12">
        <f>IF(F112+SUM(E$99:E112)=D$92,F112,D$92-SUM(E$99:E112))</f>
        <v>3235331.75</v>
      </c>
      <c r="E113" s="354">
        <f t="shared" si="41"/>
        <v>136719</v>
      </c>
      <c r="F113" s="55">
        <f t="shared" si="42"/>
        <v>3098612.75</v>
      </c>
      <c r="G113" s="55">
        <f t="shared" si="43"/>
        <v>3166972.25</v>
      </c>
      <c r="H113" s="436">
        <f t="shared" si="44"/>
        <v>562102.62645739131</v>
      </c>
      <c r="I113" s="437">
        <f t="shared" si="45"/>
        <v>562102.62645739131</v>
      </c>
      <c r="J113" s="54">
        <f t="shared" si="28"/>
        <v>0</v>
      </c>
      <c r="K113" s="54"/>
      <c r="L113" s="115"/>
      <c r="M113" s="54">
        <f t="shared" si="46"/>
        <v>0</v>
      </c>
      <c r="N113" s="115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9"/>
        <v/>
      </c>
      <c r="C114" s="50">
        <f>IF(D93="","-",+C113+1)</f>
        <v>2034</v>
      </c>
      <c r="D114" s="12">
        <f>IF(F113+SUM(E$99:E113)=D$92,F113,D$92-SUM(E$99:E113))</f>
        <v>3098612.75</v>
      </c>
      <c r="E114" s="354">
        <f t="shared" si="41"/>
        <v>136719</v>
      </c>
      <c r="F114" s="55">
        <f t="shared" si="42"/>
        <v>2961893.75</v>
      </c>
      <c r="G114" s="55">
        <f t="shared" si="43"/>
        <v>3030253.25</v>
      </c>
      <c r="H114" s="436">
        <f t="shared" si="44"/>
        <v>543738.70677807368</v>
      </c>
      <c r="I114" s="437">
        <f t="shared" si="45"/>
        <v>543738.70677807368</v>
      </c>
      <c r="J114" s="54">
        <f t="shared" si="28"/>
        <v>0</v>
      </c>
      <c r="K114" s="54"/>
      <c r="L114" s="115"/>
      <c r="M114" s="54">
        <f t="shared" si="46"/>
        <v>0</v>
      </c>
      <c r="N114" s="115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9"/>
        <v/>
      </c>
      <c r="C115" s="50">
        <f>IF(D93="","-",+C114+1)</f>
        <v>2035</v>
      </c>
      <c r="D115" s="12">
        <f>IF(F114+SUM(E$99:E114)=D$92,F114,D$92-SUM(E$99:E114))</f>
        <v>2961893.75</v>
      </c>
      <c r="E115" s="354">
        <f t="shared" si="41"/>
        <v>136719</v>
      </c>
      <c r="F115" s="55">
        <f t="shared" si="42"/>
        <v>2825174.75</v>
      </c>
      <c r="G115" s="55">
        <f t="shared" si="43"/>
        <v>2893534.25</v>
      </c>
      <c r="H115" s="436">
        <f t="shared" si="44"/>
        <v>525374.78709875594</v>
      </c>
      <c r="I115" s="437">
        <f t="shared" si="45"/>
        <v>525374.78709875594</v>
      </c>
      <c r="J115" s="54">
        <f t="shared" si="28"/>
        <v>0</v>
      </c>
      <c r="K115" s="54"/>
      <c r="L115" s="115"/>
      <c r="M115" s="54">
        <f t="shared" si="46"/>
        <v>0</v>
      </c>
      <c r="N115" s="115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9"/>
        <v/>
      </c>
      <c r="C116" s="50">
        <f>IF(D93="","-",+C115+1)</f>
        <v>2036</v>
      </c>
      <c r="D116" s="12">
        <f>IF(F115+SUM(E$99:E115)=D$92,F115,D$92-SUM(E$99:E115))</f>
        <v>2825174.75</v>
      </c>
      <c r="E116" s="354">
        <f t="shared" si="41"/>
        <v>136719</v>
      </c>
      <c r="F116" s="55">
        <f t="shared" si="42"/>
        <v>2688455.75</v>
      </c>
      <c r="G116" s="55">
        <f t="shared" si="43"/>
        <v>2756815.25</v>
      </c>
      <c r="H116" s="436">
        <f t="shared" si="44"/>
        <v>507010.8674194382</v>
      </c>
      <c r="I116" s="437">
        <f t="shared" si="45"/>
        <v>507010.8674194382</v>
      </c>
      <c r="J116" s="54">
        <f t="shared" si="28"/>
        <v>0</v>
      </c>
      <c r="K116" s="54"/>
      <c r="L116" s="115"/>
      <c r="M116" s="54">
        <f t="shared" si="46"/>
        <v>0</v>
      </c>
      <c r="N116" s="115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9"/>
        <v/>
      </c>
      <c r="C117" s="50">
        <f>IF(D93="","-",+C116+1)</f>
        <v>2037</v>
      </c>
      <c r="D117" s="12">
        <f>IF(F116+SUM(E$99:E116)=D$92,F116,D$92-SUM(E$99:E116))</f>
        <v>2688455.75</v>
      </c>
      <c r="E117" s="354">
        <f t="shared" si="41"/>
        <v>136719</v>
      </c>
      <c r="F117" s="55">
        <f t="shared" si="42"/>
        <v>2551736.75</v>
      </c>
      <c r="G117" s="55">
        <f t="shared" si="43"/>
        <v>2620096.25</v>
      </c>
      <c r="H117" s="436">
        <f t="shared" si="44"/>
        <v>488646.94774012052</v>
      </c>
      <c r="I117" s="437">
        <f t="shared" si="45"/>
        <v>488646.94774012052</v>
      </c>
      <c r="J117" s="54">
        <f t="shared" si="28"/>
        <v>0</v>
      </c>
      <c r="K117" s="54"/>
      <c r="L117" s="115"/>
      <c r="M117" s="54">
        <f t="shared" si="46"/>
        <v>0</v>
      </c>
      <c r="N117" s="115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9"/>
        <v/>
      </c>
      <c r="C118" s="50">
        <f>IF(D93="","-",+C117+1)</f>
        <v>2038</v>
      </c>
      <c r="D118" s="12">
        <f>IF(F117+SUM(E$99:E117)=D$92,F117,D$92-SUM(E$99:E117))</f>
        <v>2551736.75</v>
      </c>
      <c r="E118" s="354">
        <f t="shared" si="41"/>
        <v>136719</v>
      </c>
      <c r="F118" s="55">
        <f t="shared" si="42"/>
        <v>2415017.75</v>
      </c>
      <c r="G118" s="55">
        <f t="shared" si="43"/>
        <v>2483377.25</v>
      </c>
      <c r="H118" s="436">
        <f t="shared" si="44"/>
        <v>470283.02806080278</v>
      </c>
      <c r="I118" s="437">
        <f t="shared" si="45"/>
        <v>470283.02806080278</v>
      </c>
      <c r="J118" s="54">
        <f t="shared" si="28"/>
        <v>0</v>
      </c>
      <c r="K118" s="54"/>
      <c r="L118" s="115"/>
      <c r="M118" s="54">
        <f t="shared" si="46"/>
        <v>0</v>
      </c>
      <c r="N118" s="115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9"/>
        <v/>
      </c>
      <c r="C119" s="50">
        <f>IF(D93="","-",+C118+1)</f>
        <v>2039</v>
      </c>
      <c r="D119" s="12">
        <f>IF(F118+SUM(E$99:E118)=D$92,F118,D$92-SUM(E$99:E118))</f>
        <v>2415017.75</v>
      </c>
      <c r="E119" s="354">
        <f t="shared" si="41"/>
        <v>136719</v>
      </c>
      <c r="F119" s="55">
        <f t="shared" si="42"/>
        <v>2278298.75</v>
      </c>
      <c r="G119" s="55">
        <f t="shared" si="43"/>
        <v>2346658.25</v>
      </c>
      <c r="H119" s="436">
        <f t="shared" si="44"/>
        <v>451919.1083814851</v>
      </c>
      <c r="I119" s="437">
        <f t="shared" si="45"/>
        <v>451919.1083814851</v>
      </c>
      <c r="J119" s="54">
        <f t="shared" si="28"/>
        <v>0</v>
      </c>
      <c r="K119" s="54"/>
      <c r="L119" s="115"/>
      <c r="M119" s="54">
        <f t="shared" si="46"/>
        <v>0</v>
      </c>
      <c r="N119" s="115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9"/>
        <v/>
      </c>
      <c r="C120" s="50">
        <f>IF(D93="","-",+C119+1)</f>
        <v>2040</v>
      </c>
      <c r="D120" s="12">
        <f>IF(F119+SUM(E$99:E119)=D$92,F119,D$92-SUM(E$99:E119))</f>
        <v>2278298.75</v>
      </c>
      <c r="E120" s="354">
        <f t="shared" si="41"/>
        <v>136719</v>
      </c>
      <c r="F120" s="55">
        <f t="shared" si="42"/>
        <v>2141579.75</v>
      </c>
      <c r="G120" s="55">
        <f t="shared" si="43"/>
        <v>2209939.25</v>
      </c>
      <c r="H120" s="436">
        <f t="shared" si="44"/>
        <v>433555.18870216736</v>
      </c>
      <c r="I120" s="437">
        <f t="shared" si="45"/>
        <v>433555.18870216736</v>
      </c>
      <c r="J120" s="54">
        <f t="shared" si="28"/>
        <v>0</v>
      </c>
      <c r="K120" s="54"/>
      <c r="L120" s="115"/>
      <c r="M120" s="54">
        <f t="shared" si="46"/>
        <v>0</v>
      </c>
      <c r="N120" s="115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9"/>
        <v/>
      </c>
      <c r="C121" s="50">
        <f>IF(D93="","-",+C120+1)</f>
        <v>2041</v>
      </c>
      <c r="D121" s="12">
        <f>IF(F120+SUM(E$99:E120)=D$92,F120,D$92-SUM(E$99:E120))</f>
        <v>2141579.75</v>
      </c>
      <c r="E121" s="354">
        <f t="shared" si="41"/>
        <v>136719</v>
      </c>
      <c r="F121" s="55">
        <f t="shared" si="42"/>
        <v>2004860.75</v>
      </c>
      <c r="G121" s="55">
        <f t="shared" si="43"/>
        <v>2073220.25</v>
      </c>
      <c r="H121" s="436">
        <f t="shared" si="44"/>
        <v>415191.26902284968</v>
      </c>
      <c r="I121" s="437">
        <f t="shared" si="45"/>
        <v>415191.26902284968</v>
      </c>
      <c r="J121" s="54">
        <f t="shared" si="28"/>
        <v>0</v>
      </c>
      <c r="K121" s="54"/>
      <c r="L121" s="115"/>
      <c r="M121" s="54">
        <f t="shared" si="46"/>
        <v>0</v>
      </c>
      <c r="N121" s="115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9"/>
        <v/>
      </c>
      <c r="C122" s="50">
        <f>IF(D93="","-",+C121+1)</f>
        <v>2042</v>
      </c>
      <c r="D122" s="12">
        <f>IF(F121+SUM(E$99:E121)=D$92,F121,D$92-SUM(E$99:E121))</f>
        <v>2004860.75</v>
      </c>
      <c r="E122" s="354">
        <f t="shared" si="41"/>
        <v>136719</v>
      </c>
      <c r="F122" s="55">
        <f t="shared" si="42"/>
        <v>1868141.75</v>
      </c>
      <c r="G122" s="55">
        <f t="shared" si="43"/>
        <v>1936501.25</v>
      </c>
      <c r="H122" s="436">
        <f t="shared" si="44"/>
        <v>396827.349343532</v>
      </c>
      <c r="I122" s="437">
        <f t="shared" si="45"/>
        <v>396827.349343532</v>
      </c>
      <c r="J122" s="54">
        <f t="shared" si="28"/>
        <v>0</v>
      </c>
      <c r="K122" s="54"/>
      <c r="L122" s="115"/>
      <c r="M122" s="54">
        <f t="shared" si="46"/>
        <v>0</v>
      </c>
      <c r="N122" s="115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9"/>
        <v/>
      </c>
      <c r="C123" s="50">
        <f>IF(D93="","-",+C122+1)</f>
        <v>2043</v>
      </c>
      <c r="D123" s="12">
        <f>IF(F122+SUM(E$99:E122)=D$92,F122,D$92-SUM(E$99:E122))</f>
        <v>1868141.75</v>
      </c>
      <c r="E123" s="354">
        <f t="shared" si="41"/>
        <v>136719</v>
      </c>
      <c r="F123" s="55">
        <f t="shared" si="42"/>
        <v>1731422.75</v>
      </c>
      <c r="G123" s="55">
        <f t="shared" si="43"/>
        <v>1799782.25</v>
      </c>
      <c r="H123" s="436">
        <f t="shared" si="44"/>
        <v>378463.42966421426</v>
      </c>
      <c r="I123" s="437">
        <f t="shared" si="45"/>
        <v>378463.42966421426</v>
      </c>
      <c r="J123" s="54">
        <f t="shared" si="28"/>
        <v>0</v>
      </c>
      <c r="K123" s="54"/>
      <c r="L123" s="115"/>
      <c r="M123" s="54">
        <f t="shared" si="46"/>
        <v>0</v>
      </c>
      <c r="N123" s="115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9"/>
        <v/>
      </c>
      <c r="C124" s="50">
        <f>IF(D93="","-",+C123+1)</f>
        <v>2044</v>
      </c>
      <c r="D124" s="12">
        <f>IF(F123+SUM(E$99:E123)=D$92,F123,D$92-SUM(E$99:E123))</f>
        <v>1731422.75</v>
      </c>
      <c r="E124" s="354">
        <f t="shared" si="41"/>
        <v>136719</v>
      </c>
      <c r="F124" s="55">
        <f t="shared" si="42"/>
        <v>1594703.75</v>
      </c>
      <c r="G124" s="55">
        <f t="shared" si="43"/>
        <v>1663063.25</v>
      </c>
      <c r="H124" s="436">
        <f t="shared" si="44"/>
        <v>360099.50998489652</v>
      </c>
      <c r="I124" s="437">
        <f t="shared" si="45"/>
        <v>360099.50998489652</v>
      </c>
      <c r="J124" s="54">
        <f t="shared" si="28"/>
        <v>0</v>
      </c>
      <c r="K124" s="54"/>
      <c r="L124" s="115"/>
      <c r="M124" s="54">
        <f t="shared" si="46"/>
        <v>0</v>
      </c>
      <c r="N124" s="115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9"/>
        <v/>
      </c>
      <c r="C125" s="50">
        <f>IF(D93="","-",+C124+1)</f>
        <v>2045</v>
      </c>
      <c r="D125" s="12">
        <f>IF(F124+SUM(E$99:E124)=D$92,F124,D$92-SUM(E$99:E124))</f>
        <v>1594703.75</v>
      </c>
      <c r="E125" s="354">
        <f t="shared" si="41"/>
        <v>136719</v>
      </c>
      <c r="F125" s="55">
        <f t="shared" si="42"/>
        <v>1457984.75</v>
      </c>
      <c r="G125" s="55">
        <f t="shared" si="43"/>
        <v>1526344.25</v>
      </c>
      <c r="H125" s="436">
        <f t="shared" si="44"/>
        <v>341735.59030557884</v>
      </c>
      <c r="I125" s="437">
        <f t="shared" si="45"/>
        <v>341735.59030557884</v>
      </c>
      <c r="J125" s="54">
        <f t="shared" si="28"/>
        <v>0</v>
      </c>
      <c r="K125" s="54"/>
      <c r="L125" s="115"/>
      <c r="M125" s="54">
        <f t="shared" si="46"/>
        <v>0</v>
      </c>
      <c r="N125" s="115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9"/>
        <v/>
      </c>
      <c r="C126" s="50">
        <f>IF(D93="","-",+C125+1)</f>
        <v>2046</v>
      </c>
      <c r="D126" s="12">
        <f>IF(F125+SUM(E$99:E125)=D$92,F125,D$92-SUM(E$99:E125))</f>
        <v>1457984.75</v>
      </c>
      <c r="E126" s="354">
        <f t="shared" si="41"/>
        <v>136719</v>
      </c>
      <c r="F126" s="55">
        <f t="shared" si="42"/>
        <v>1321265.75</v>
      </c>
      <c r="G126" s="55">
        <f t="shared" si="43"/>
        <v>1389625.25</v>
      </c>
      <c r="H126" s="436">
        <f t="shared" si="44"/>
        <v>323371.67062626116</v>
      </c>
      <c r="I126" s="437">
        <f t="shared" si="45"/>
        <v>323371.67062626116</v>
      </c>
      <c r="J126" s="54">
        <f t="shared" si="28"/>
        <v>0</v>
      </c>
      <c r="K126" s="54"/>
      <c r="L126" s="115"/>
      <c r="M126" s="54">
        <f t="shared" si="46"/>
        <v>0</v>
      </c>
      <c r="N126" s="115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9"/>
        <v/>
      </c>
      <c r="C127" s="50">
        <f>IF(D93="","-",+C126+1)</f>
        <v>2047</v>
      </c>
      <c r="D127" s="12">
        <f>IF(F126+SUM(E$99:E126)=D$92,F126,D$92-SUM(E$99:E126))</f>
        <v>1321265.75</v>
      </c>
      <c r="E127" s="354">
        <f t="shared" si="41"/>
        <v>136719</v>
      </c>
      <c r="F127" s="55">
        <f t="shared" si="42"/>
        <v>1184546.75</v>
      </c>
      <c r="G127" s="55">
        <f t="shared" si="43"/>
        <v>1252906.25</v>
      </c>
      <c r="H127" s="436">
        <f t="shared" si="44"/>
        <v>305007.75094694342</v>
      </c>
      <c r="I127" s="437">
        <f t="shared" si="45"/>
        <v>305007.75094694342</v>
      </c>
      <c r="J127" s="54">
        <f t="shared" si="28"/>
        <v>0</v>
      </c>
      <c r="K127" s="54"/>
      <c r="L127" s="115"/>
      <c r="M127" s="54">
        <f t="shared" si="46"/>
        <v>0</v>
      </c>
      <c r="N127" s="115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9"/>
        <v/>
      </c>
      <c r="C128" s="50">
        <f>IF(D93="","-",+C127+1)</f>
        <v>2048</v>
      </c>
      <c r="D128" s="12">
        <f>IF(F127+SUM(E$99:E127)=D$92,F127,D$92-SUM(E$99:E127))</f>
        <v>1184546.75</v>
      </c>
      <c r="E128" s="354">
        <f t="shared" si="41"/>
        <v>136719</v>
      </c>
      <c r="F128" s="55">
        <f t="shared" si="42"/>
        <v>1047827.75</v>
      </c>
      <c r="G128" s="55">
        <f t="shared" si="43"/>
        <v>1116187.25</v>
      </c>
      <c r="H128" s="436">
        <f t="shared" si="44"/>
        <v>286643.83126762568</v>
      </c>
      <c r="I128" s="437">
        <f t="shared" si="45"/>
        <v>286643.83126762568</v>
      </c>
      <c r="J128" s="54">
        <f t="shared" si="28"/>
        <v>0</v>
      </c>
      <c r="K128" s="54"/>
      <c r="L128" s="115"/>
      <c r="M128" s="54">
        <f t="shared" si="46"/>
        <v>0</v>
      </c>
      <c r="N128" s="115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9"/>
        <v/>
      </c>
      <c r="C129" s="50">
        <f>IF(D93="","-",+C128+1)</f>
        <v>2049</v>
      </c>
      <c r="D129" s="12">
        <f>IF(F128+SUM(E$99:E128)=D$92,F128,D$92-SUM(E$99:E128))</f>
        <v>1047827.75</v>
      </c>
      <c r="E129" s="354">
        <f t="shared" si="41"/>
        <v>136719</v>
      </c>
      <c r="F129" s="55">
        <f t="shared" si="42"/>
        <v>911108.75</v>
      </c>
      <c r="G129" s="55">
        <f t="shared" si="43"/>
        <v>979468.25</v>
      </c>
      <c r="H129" s="436">
        <f t="shared" si="44"/>
        <v>268279.91158830799</v>
      </c>
      <c r="I129" s="437">
        <f t="shared" si="45"/>
        <v>268279.91158830799</v>
      </c>
      <c r="J129" s="54">
        <f t="shared" si="28"/>
        <v>0</v>
      </c>
      <c r="K129" s="54"/>
      <c r="L129" s="115"/>
      <c r="M129" s="54">
        <f t="shared" si="46"/>
        <v>0</v>
      </c>
      <c r="N129" s="115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9"/>
        <v/>
      </c>
      <c r="C130" s="50">
        <f>IF(D93="","-",+C129+1)</f>
        <v>2050</v>
      </c>
      <c r="D130" s="12">
        <f>IF(F129+SUM(E$99:E129)=D$92,F129,D$92-SUM(E$99:E129))</f>
        <v>911108.75</v>
      </c>
      <c r="E130" s="354">
        <f t="shared" si="41"/>
        <v>136719</v>
      </c>
      <c r="F130" s="55">
        <f t="shared" si="42"/>
        <v>774389.75</v>
      </c>
      <c r="G130" s="55">
        <f t="shared" si="43"/>
        <v>842749.25</v>
      </c>
      <c r="H130" s="436">
        <f t="shared" si="44"/>
        <v>249915.99190899025</v>
      </c>
      <c r="I130" s="437">
        <f t="shared" si="45"/>
        <v>249915.99190899025</v>
      </c>
      <c r="J130" s="54">
        <f t="shared" si="28"/>
        <v>0</v>
      </c>
      <c r="K130" s="54"/>
      <c r="L130" s="115"/>
      <c r="M130" s="54">
        <f t="shared" si="46"/>
        <v>0</v>
      </c>
      <c r="N130" s="115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9"/>
        <v/>
      </c>
      <c r="C131" s="50">
        <f>IF(D93="","-",+C130+1)</f>
        <v>2051</v>
      </c>
      <c r="D131" s="12">
        <f>IF(F130+SUM(E$99:E130)=D$92,F130,D$92-SUM(E$99:E130))</f>
        <v>774389.75</v>
      </c>
      <c r="E131" s="354">
        <f t="shared" si="41"/>
        <v>136719</v>
      </c>
      <c r="F131" s="55">
        <f t="shared" si="42"/>
        <v>637670.75</v>
      </c>
      <c r="G131" s="55">
        <f t="shared" si="43"/>
        <v>706030.25</v>
      </c>
      <c r="H131" s="436">
        <f t="shared" si="44"/>
        <v>231552.07222967257</v>
      </c>
      <c r="I131" s="437">
        <f t="shared" si="45"/>
        <v>231552.07222967257</v>
      </c>
      <c r="J131" s="54">
        <f t="shared" ref="J131:J154" si="47">+I540-H540</f>
        <v>0</v>
      </c>
      <c r="K131" s="54"/>
      <c r="L131" s="115"/>
      <c r="M131" s="54">
        <f t="shared" ref="M131:M154" si="48">IF(L540&lt;&gt;0,+H540-L540,0)</f>
        <v>0</v>
      </c>
      <c r="N131" s="115"/>
      <c r="O131" s="54">
        <f t="shared" ref="O131:O154" si="49">IF(N540&lt;&gt;0,+I540-N540,0)</f>
        <v>0</v>
      </c>
      <c r="P131" s="54">
        <f t="shared" ref="P131:P154" si="50">+O540-M540</f>
        <v>0</v>
      </c>
    </row>
    <row r="132" spans="2:16" ht="12.5">
      <c r="B132" s="7" t="str">
        <f t="shared" si="29"/>
        <v/>
      </c>
      <c r="C132" s="50">
        <f>IF(D93="","-",+C131+1)</f>
        <v>2052</v>
      </c>
      <c r="D132" s="12">
        <f>IF(F131+SUM(E$99:E131)=D$92,F131,D$92-SUM(E$99:E131))</f>
        <v>637670.75</v>
      </c>
      <c r="E132" s="354">
        <f t="shared" si="41"/>
        <v>136719</v>
      </c>
      <c r="F132" s="55">
        <f t="shared" si="42"/>
        <v>500951.75</v>
      </c>
      <c r="G132" s="55">
        <f t="shared" si="43"/>
        <v>569311.25</v>
      </c>
      <c r="H132" s="436">
        <f t="shared" si="44"/>
        <v>213188.15255035483</v>
      </c>
      <c r="I132" s="437">
        <f t="shared" si="45"/>
        <v>213188.15255035483</v>
      </c>
      <c r="J132" s="54">
        <f t="shared" si="47"/>
        <v>0</v>
      </c>
      <c r="K132" s="54"/>
      <c r="L132" s="115"/>
      <c r="M132" s="54">
        <f t="shared" si="48"/>
        <v>0</v>
      </c>
      <c r="N132" s="115"/>
      <c r="O132" s="54">
        <f t="shared" si="49"/>
        <v>0</v>
      </c>
      <c r="P132" s="54">
        <f t="shared" si="50"/>
        <v>0</v>
      </c>
    </row>
    <row r="133" spans="2:16" ht="12.5">
      <c r="B133" s="7" t="str">
        <f t="shared" si="29"/>
        <v/>
      </c>
      <c r="C133" s="50">
        <f>IF(D93="","-",+C132+1)</f>
        <v>2053</v>
      </c>
      <c r="D133" s="12">
        <f>IF(F132+SUM(E$99:E132)=D$92,F132,D$92-SUM(E$99:E132))</f>
        <v>500951.75</v>
      </c>
      <c r="E133" s="354">
        <f t="shared" si="41"/>
        <v>136719</v>
      </c>
      <c r="F133" s="55">
        <f t="shared" si="42"/>
        <v>364232.75</v>
      </c>
      <c r="G133" s="55">
        <f t="shared" si="43"/>
        <v>432592.25</v>
      </c>
      <c r="H133" s="436">
        <f t="shared" si="44"/>
        <v>194824.23287103715</v>
      </c>
      <c r="I133" s="437">
        <f t="shared" si="45"/>
        <v>194824.23287103715</v>
      </c>
      <c r="J133" s="54">
        <f t="shared" si="47"/>
        <v>0</v>
      </c>
      <c r="K133" s="54"/>
      <c r="L133" s="115"/>
      <c r="M133" s="54">
        <f t="shared" si="48"/>
        <v>0</v>
      </c>
      <c r="N133" s="115"/>
      <c r="O133" s="54">
        <f t="shared" si="49"/>
        <v>0</v>
      </c>
      <c r="P133" s="54">
        <f t="shared" si="50"/>
        <v>0</v>
      </c>
    </row>
    <row r="134" spans="2:16" ht="12.5">
      <c r="B134" s="7" t="str">
        <f t="shared" si="29"/>
        <v/>
      </c>
      <c r="C134" s="50">
        <f>IF(D93="","-",+C133+1)</f>
        <v>2054</v>
      </c>
      <c r="D134" s="12">
        <f>IF(F133+SUM(E$99:E133)=D$92,F133,D$92-SUM(E$99:E133))</f>
        <v>364232.75</v>
      </c>
      <c r="E134" s="354">
        <f t="shared" si="41"/>
        <v>136719</v>
      </c>
      <c r="F134" s="55">
        <f t="shared" si="42"/>
        <v>227513.75</v>
      </c>
      <c r="G134" s="55">
        <f t="shared" si="43"/>
        <v>295873.25</v>
      </c>
      <c r="H134" s="436">
        <f t="shared" si="44"/>
        <v>176460.31319171944</v>
      </c>
      <c r="I134" s="437">
        <f t="shared" si="45"/>
        <v>176460.31319171944</v>
      </c>
      <c r="J134" s="54">
        <f t="shared" si="47"/>
        <v>0</v>
      </c>
      <c r="K134" s="54"/>
      <c r="L134" s="115"/>
      <c r="M134" s="54">
        <f t="shared" si="48"/>
        <v>0</v>
      </c>
      <c r="N134" s="115"/>
      <c r="O134" s="54">
        <f t="shared" si="49"/>
        <v>0</v>
      </c>
      <c r="P134" s="54">
        <f t="shared" si="50"/>
        <v>0</v>
      </c>
    </row>
    <row r="135" spans="2:16" ht="12.5">
      <c r="B135" s="7" t="str">
        <f t="shared" si="29"/>
        <v/>
      </c>
      <c r="C135" s="50">
        <f>IF(D93="","-",+C134+1)</f>
        <v>2055</v>
      </c>
      <c r="D135" s="12">
        <f>IF(F134+SUM(E$99:E134)=D$92,F134,D$92-SUM(E$99:E134))</f>
        <v>227513.75</v>
      </c>
      <c r="E135" s="354">
        <f t="shared" si="41"/>
        <v>136719</v>
      </c>
      <c r="F135" s="55">
        <f t="shared" si="42"/>
        <v>90794.75</v>
      </c>
      <c r="G135" s="55">
        <f t="shared" si="43"/>
        <v>159154.25</v>
      </c>
      <c r="H135" s="436">
        <f t="shared" si="44"/>
        <v>158096.39351240173</v>
      </c>
      <c r="I135" s="437">
        <f t="shared" si="45"/>
        <v>158096.39351240173</v>
      </c>
      <c r="J135" s="54">
        <f t="shared" si="47"/>
        <v>0</v>
      </c>
      <c r="K135" s="54"/>
      <c r="L135" s="115"/>
      <c r="M135" s="54">
        <f t="shared" si="48"/>
        <v>0</v>
      </c>
      <c r="N135" s="115"/>
      <c r="O135" s="54">
        <f t="shared" si="49"/>
        <v>0</v>
      </c>
      <c r="P135" s="54">
        <f t="shared" si="50"/>
        <v>0</v>
      </c>
    </row>
    <row r="136" spans="2:16" ht="12.5">
      <c r="B136" s="7" t="str">
        <f t="shared" si="29"/>
        <v/>
      </c>
      <c r="C136" s="50">
        <f>IF(D93="","-",+C135+1)</f>
        <v>2056</v>
      </c>
      <c r="D136" s="12">
        <f>IF(F135+SUM(E$99:E135)=D$92,F135,D$92-SUM(E$99:E135))</f>
        <v>90794.75</v>
      </c>
      <c r="E136" s="354">
        <f t="shared" si="41"/>
        <v>90794.75</v>
      </c>
      <c r="F136" s="55">
        <f t="shared" si="42"/>
        <v>0</v>
      </c>
      <c r="G136" s="55">
        <f t="shared" si="43"/>
        <v>45397.375</v>
      </c>
      <c r="H136" s="436">
        <f t="shared" si="44"/>
        <v>96892.46683637143</v>
      </c>
      <c r="I136" s="437">
        <f t="shared" si="45"/>
        <v>96892.46683637143</v>
      </c>
      <c r="J136" s="54">
        <f t="shared" si="47"/>
        <v>0</v>
      </c>
      <c r="K136" s="54"/>
      <c r="L136" s="115"/>
      <c r="M136" s="54">
        <f t="shared" si="48"/>
        <v>0</v>
      </c>
      <c r="N136" s="115"/>
      <c r="O136" s="54">
        <f t="shared" si="49"/>
        <v>0</v>
      </c>
      <c r="P136" s="54">
        <f t="shared" si="50"/>
        <v>0</v>
      </c>
    </row>
    <row r="137" spans="2:16" ht="12.5">
      <c r="B137" s="7" t="str">
        <f t="shared" si="29"/>
        <v/>
      </c>
      <c r="C137" s="50">
        <f>IF(D93="","-",+C136+1)</f>
        <v>2057</v>
      </c>
      <c r="D137" s="12">
        <f>IF(F136+SUM(E$99:E136)=D$92,F136,D$92-SUM(E$99:E136))</f>
        <v>0</v>
      </c>
      <c r="E137" s="354">
        <f t="shared" si="41"/>
        <v>0</v>
      </c>
      <c r="F137" s="55">
        <f t="shared" si="42"/>
        <v>0</v>
      </c>
      <c r="G137" s="55">
        <f t="shared" si="43"/>
        <v>0</v>
      </c>
      <c r="H137" s="436">
        <f t="shared" si="44"/>
        <v>0</v>
      </c>
      <c r="I137" s="437">
        <f t="shared" si="45"/>
        <v>0</v>
      </c>
      <c r="J137" s="54">
        <f t="shared" si="47"/>
        <v>0</v>
      </c>
      <c r="K137" s="54"/>
      <c r="L137" s="115"/>
      <c r="M137" s="54">
        <f t="shared" si="48"/>
        <v>0</v>
      </c>
      <c r="N137" s="115"/>
      <c r="O137" s="54">
        <f t="shared" si="49"/>
        <v>0</v>
      </c>
      <c r="P137" s="54">
        <f t="shared" si="50"/>
        <v>0</v>
      </c>
    </row>
    <row r="138" spans="2:16" ht="12.5">
      <c r="B138" s="7" t="str">
        <f t="shared" si="29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41"/>
        <v>0</v>
      </c>
      <c r="F138" s="55">
        <f t="shared" si="42"/>
        <v>0</v>
      </c>
      <c r="G138" s="55">
        <f t="shared" si="43"/>
        <v>0</v>
      </c>
      <c r="H138" s="436">
        <f t="shared" si="44"/>
        <v>0</v>
      </c>
      <c r="I138" s="437">
        <f t="shared" si="45"/>
        <v>0</v>
      </c>
      <c r="J138" s="54">
        <f t="shared" si="47"/>
        <v>0</v>
      </c>
      <c r="K138" s="54"/>
      <c r="L138" s="115"/>
      <c r="M138" s="54">
        <f t="shared" si="48"/>
        <v>0</v>
      </c>
      <c r="N138" s="115"/>
      <c r="O138" s="54">
        <f t="shared" si="49"/>
        <v>0</v>
      </c>
      <c r="P138" s="54">
        <f t="shared" si="50"/>
        <v>0</v>
      </c>
    </row>
    <row r="139" spans="2:16" ht="12.5">
      <c r="B139" s="7" t="str">
        <f t="shared" si="29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41"/>
        <v>0</v>
      </c>
      <c r="F139" s="55">
        <f t="shared" si="42"/>
        <v>0</v>
      </c>
      <c r="G139" s="55">
        <f t="shared" si="43"/>
        <v>0</v>
      </c>
      <c r="H139" s="436">
        <f t="shared" si="44"/>
        <v>0</v>
      </c>
      <c r="I139" s="437">
        <f t="shared" si="45"/>
        <v>0</v>
      </c>
      <c r="J139" s="54">
        <f t="shared" si="47"/>
        <v>0</v>
      </c>
      <c r="K139" s="54"/>
      <c r="L139" s="115"/>
      <c r="M139" s="54">
        <f t="shared" si="48"/>
        <v>0</v>
      </c>
      <c r="N139" s="115"/>
      <c r="O139" s="54">
        <f t="shared" si="49"/>
        <v>0</v>
      </c>
      <c r="P139" s="54">
        <f t="shared" si="50"/>
        <v>0</v>
      </c>
    </row>
    <row r="140" spans="2:16" ht="12.5">
      <c r="B140" s="7" t="str">
        <f t="shared" si="29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41"/>
        <v>0</v>
      </c>
      <c r="F140" s="55">
        <f t="shared" si="42"/>
        <v>0</v>
      </c>
      <c r="G140" s="55">
        <f t="shared" si="43"/>
        <v>0</v>
      </c>
      <c r="H140" s="436">
        <f t="shared" si="44"/>
        <v>0</v>
      </c>
      <c r="I140" s="437">
        <f t="shared" si="45"/>
        <v>0</v>
      </c>
      <c r="J140" s="54">
        <f t="shared" si="47"/>
        <v>0</v>
      </c>
      <c r="K140" s="54"/>
      <c r="L140" s="115"/>
      <c r="M140" s="54">
        <f t="shared" si="48"/>
        <v>0</v>
      </c>
      <c r="N140" s="115"/>
      <c r="O140" s="54">
        <f t="shared" si="49"/>
        <v>0</v>
      </c>
      <c r="P140" s="54">
        <f t="shared" si="50"/>
        <v>0</v>
      </c>
    </row>
    <row r="141" spans="2:16" ht="12.5">
      <c r="B141" s="7" t="str">
        <f t="shared" si="29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41"/>
        <v>0</v>
      </c>
      <c r="F141" s="55">
        <f t="shared" si="42"/>
        <v>0</v>
      </c>
      <c r="G141" s="55">
        <f t="shared" si="43"/>
        <v>0</v>
      </c>
      <c r="H141" s="436">
        <f t="shared" si="44"/>
        <v>0</v>
      </c>
      <c r="I141" s="437">
        <f t="shared" si="45"/>
        <v>0</v>
      </c>
      <c r="J141" s="54">
        <f t="shared" si="47"/>
        <v>0</v>
      </c>
      <c r="K141" s="54"/>
      <c r="L141" s="115"/>
      <c r="M141" s="54">
        <f t="shared" si="48"/>
        <v>0</v>
      </c>
      <c r="N141" s="115"/>
      <c r="O141" s="54">
        <f t="shared" si="49"/>
        <v>0</v>
      </c>
      <c r="P141" s="54">
        <f t="shared" si="50"/>
        <v>0</v>
      </c>
    </row>
    <row r="142" spans="2:16" ht="12.5">
      <c r="B142" s="7" t="str">
        <f t="shared" si="29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41"/>
        <v>0</v>
      </c>
      <c r="F142" s="55">
        <f t="shared" si="42"/>
        <v>0</v>
      </c>
      <c r="G142" s="55">
        <f t="shared" si="43"/>
        <v>0</v>
      </c>
      <c r="H142" s="436">
        <f t="shared" si="44"/>
        <v>0</v>
      </c>
      <c r="I142" s="437">
        <f t="shared" si="45"/>
        <v>0</v>
      </c>
      <c r="J142" s="54">
        <f t="shared" si="47"/>
        <v>0</v>
      </c>
      <c r="K142" s="54"/>
      <c r="L142" s="115"/>
      <c r="M142" s="54">
        <f t="shared" si="48"/>
        <v>0</v>
      </c>
      <c r="N142" s="115"/>
      <c r="O142" s="54">
        <f t="shared" si="49"/>
        <v>0</v>
      </c>
      <c r="P142" s="54">
        <f t="shared" si="50"/>
        <v>0</v>
      </c>
    </row>
    <row r="143" spans="2:16" ht="12.5">
      <c r="B143" s="7" t="str">
        <f t="shared" si="29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41"/>
        <v>0</v>
      </c>
      <c r="F143" s="55">
        <f t="shared" si="42"/>
        <v>0</v>
      </c>
      <c r="G143" s="55">
        <f t="shared" si="43"/>
        <v>0</v>
      </c>
      <c r="H143" s="436">
        <f t="shared" si="44"/>
        <v>0</v>
      </c>
      <c r="I143" s="437">
        <f t="shared" si="45"/>
        <v>0</v>
      </c>
      <c r="J143" s="54">
        <f t="shared" si="47"/>
        <v>0</v>
      </c>
      <c r="K143" s="54"/>
      <c r="L143" s="115"/>
      <c r="M143" s="54">
        <f t="shared" si="48"/>
        <v>0</v>
      </c>
      <c r="N143" s="115"/>
      <c r="O143" s="54">
        <f t="shared" si="49"/>
        <v>0</v>
      </c>
      <c r="P143" s="54">
        <f t="shared" si="50"/>
        <v>0</v>
      </c>
    </row>
    <row r="144" spans="2:16" ht="12.5">
      <c r="B144" s="7" t="str">
        <f t="shared" si="29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41"/>
        <v>0</v>
      </c>
      <c r="F144" s="55">
        <f t="shared" si="42"/>
        <v>0</v>
      </c>
      <c r="G144" s="55">
        <f t="shared" si="43"/>
        <v>0</v>
      </c>
      <c r="H144" s="436">
        <f t="shared" si="44"/>
        <v>0</v>
      </c>
      <c r="I144" s="437">
        <f t="shared" si="45"/>
        <v>0</v>
      </c>
      <c r="J144" s="54">
        <f t="shared" si="47"/>
        <v>0</v>
      </c>
      <c r="K144" s="54"/>
      <c r="L144" s="115"/>
      <c r="M144" s="54">
        <f t="shared" si="48"/>
        <v>0</v>
      </c>
      <c r="N144" s="115"/>
      <c r="O144" s="54">
        <f t="shared" si="49"/>
        <v>0</v>
      </c>
      <c r="P144" s="54">
        <f t="shared" si="50"/>
        <v>0</v>
      </c>
    </row>
    <row r="145" spans="2:16" ht="12.5">
      <c r="B145" s="7" t="str">
        <f t="shared" si="29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41"/>
        <v>0</v>
      </c>
      <c r="F145" s="55">
        <f t="shared" si="42"/>
        <v>0</v>
      </c>
      <c r="G145" s="55">
        <f t="shared" si="43"/>
        <v>0</v>
      </c>
      <c r="H145" s="436">
        <f t="shared" si="44"/>
        <v>0</v>
      </c>
      <c r="I145" s="437">
        <f t="shared" si="45"/>
        <v>0</v>
      </c>
      <c r="J145" s="54">
        <f t="shared" si="47"/>
        <v>0</v>
      </c>
      <c r="K145" s="54"/>
      <c r="L145" s="115"/>
      <c r="M145" s="54">
        <f t="shared" si="48"/>
        <v>0</v>
      </c>
      <c r="N145" s="115"/>
      <c r="O145" s="54">
        <f t="shared" si="49"/>
        <v>0</v>
      </c>
      <c r="P145" s="54">
        <f t="shared" si="50"/>
        <v>0</v>
      </c>
    </row>
    <row r="146" spans="2:16" ht="12.5">
      <c r="B146" s="7" t="str">
        <f t="shared" si="29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41"/>
        <v>0</v>
      </c>
      <c r="F146" s="55">
        <f t="shared" si="42"/>
        <v>0</v>
      </c>
      <c r="G146" s="55">
        <f t="shared" si="43"/>
        <v>0</v>
      </c>
      <c r="H146" s="436">
        <f t="shared" si="44"/>
        <v>0</v>
      </c>
      <c r="I146" s="437">
        <f t="shared" si="45"/>
        <v>0</v>
      </c>
      <c r="J146" s="54">
        <f t="shared" si="47"/>
        <v>0</v>
      </c>
      <c r="K146" s="54"/>
      <c r="L146" s="115"/>
      <c r="M146" s="54">
        <f t="shared" si="48"/>
        <v>0</v>
      </c>
      <c r="N146" s="115"/>
      <c r="O146" s="54">
        <f t="shared" si="49"/>
        <v>0</v>
      </c>
      <c r="P146" s="54">
        <f t="shared" si="50"/>
        <v>0</v>
      </c>
    </row>
    <row r="147" spans="2:16" ht="12.5">
      <c r="B147" s="7" t="str">
        <f t="shared" si="29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41"/>
        <v>0</v>
      </c>
      <c r="F147" s="55">
        <f t="shared" si="42"/>
        <v>0</v>
      </c>
      <c r="G147" s="55">
        <f t="shared" si="43"/>
        <v>0</v>
      </c>
      <c r="H147" s="436">
        <f t="shared" si="44"/>
        <v>0</v>
      </c>
      <c r="I147" s="437">
        <f t="shared" si="45"/>
        <v>0</v>
      </c>
      <c r="J147" s="54">
        <f t="shared" si="47"/>
        <v>0</v>
      </c>
      <c r="K147" s="54"/>
      <c r="L147" s="115"/>
      <c r="M147" s="54">
        <f t="shared" si="48"/>
        <v>0</v>
      </c>
      <c r="N147" s="115"/>
      <c r="O147" s="54">
        <f t="shared" si="49"/>
        <v>0</v>
      </c>
      <c r="P147" s="54">
        <f t="shared" si="50"/>
        <v>0</v>
      </c>
    </row>
    <row r="148" spans="2:16" ht="12.5">
      <c r="B148" s="7" t="str">
        <f t="shared" si="29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41"/>
        <v>0</v>
      </c>
      <c r="F148" s="55">
        <f t="shared" si="42"/>
        <v>0</v>
      </c>
      <c r="G148" s="55">
        <f t="shared" si="43"/>
        <v>0</v>
      </c>
      <c r="H148" s="436">
        <f t="shared" si="44"/>
        <v>0</v>
      </c>
      <c r="I148" s="437">
        <f t="shared" si="45"/>
        <v>0</v>
      </c>
      <c r="J148" s="54">
        <f t="shared" si="47"/>
        <v>0</v>
      </c>
      <c r="K148" s="54"/>
      <c r="L148" s="115"/>
      <c r="M148" s="54">
        <f t="shared" si="48"/>
        <v>0</v>
      </c>
      <c r="N148" s="115"/>
      <c r="O148" s="54">
        <f t="shared" si="49"/>
        <v>0</v>
      </c>
      <c r="P148" s="54">
        <f t="shared" si="50"/>
        <v>0</v>
      </c>
    </row>
    <row r="149" spans="2:16" ht="12.5">
      <c r="B149" s="7" t="str">
        <f t="shared" si="29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41"/>
        <v>0</v>
      </c>
      <c r="F149" s="55">
        <f t="shared" si="42"/>
        <v>0</v>
      </c>
      <c r="G149" s="55">
        <f t="shared" si="43"/>
        <v>0</v>
      </c>
      <c r="H149" s="436">
        <f t="shared" si="44"/>
        <v>0</v>
      </c>
      <c r="I149" s="437">
        <f t="shared" si="45"/>
        <v>0</v>
      </c>
      <c r="J149" s="54">
        <f t="shared" si="47"/>
        <v>0</v>
      </c>
      <c r="K149" s="54"/>
      <c r="L149" s="115"/>
      <c r="M149" s="54">
        <f t="shared" si="48"/>
        <v>0</v>
      </c>
      <c r="N149" s="115"/>
      <c r="O149" s="54">
        <f t="shared" si="49"/>
        <v>0</v>
      </c>
      <c r="P149" s="54">
        <f t="shared" si="50"/>
        <v>0</v>
      </c>
    </row>
    <row r="150" spans="2:16" ht="12.5">
      <c r="B150" s="7" t="str">
        <f t="shared" si="29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41"/>
        <v>0</v>
      </c>
      <c r="F150" s="55">
        <f t="shared" si="42"/>
        <v>0</v>
      </c>
      <c r="G150" s="55">
        <f t="shared" si="43"/>
        <v>0</v>
      </c>
      <c r="H150" s="436">
        <f t="shared" si="44"/>
        <v>0</v>
      </c>
      <c r="I150" s="437">
        <f t="shared" si="45"/>
        <v>0</v>
      </c>
      <c r="J150" s="54">
        <f t="shared" si="47"/>
        <v>0</v>
      </c>
      <c r="K150" s="54"/>
      <c r="L150" s="115"/>
      <c r="M150" s="54">
        <f t="shared" si="48"/>
        <v>0</v>
      </c>
      <c r="N150" s="115"/>
      <c r="O150" s="54">
        <f t="shared" si="49"/>
        <v>0</v>
      </c>
      <c r="P150" s="54">
        <f t="shared" si="50"/>
        <v>0</v>
      </c>
    </row>
    <row r="151" spans="2:16" ht="12.5">
      <c r="B151" s="7" t="str">
        <f t="shared" si="29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41"/>
        <v>0</v>
      </c>
      <c r="F151" s="55">
        <f t="shared" si="42"/>
        <v>0</v>
      </c>
      <c r="G151" s="55">
        <f t="shared" si="43"/>
        <v>0</v>
      </c>
      <c r="H151" s="436">
        <f t="shared" si="44"/>
        <v>0</v>
      </c>
      <c r="I151" s="437">
        <f t="shared" si="45"/>
        <v>0</v>
      </c>
      <c r="J151" s="54">
        <f t="shared" si="47"/>
        <v>0</v>
      </c>
      <c r="K151" s="54"/>
      <c r="L151" s="115"/>
      <c r="M151" s="54">
        <f t="shared" si="48"/>
        <v>0</v>
      </c>
      <c r="N151" s="115"/>
      <c r="O151" s="54">
        <f t="shared" si="49"/>
        <v>0</v>
      </c>
      <c r="P151" s="54">
        <f t="shared" si="50"/>
        <v>0</v>
      </c>
    </row>
    <row r="152" spans="2:16" ht="12.5">
      <c r="B152" s="7" t="str">
        <f t="shared" si="29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41"/>
        <v>0</v>
      </c>
      <c r="F152" s="55">
        <f t="shared" si="42"/>
        <v>0</v>
      </c>
      <c r="G152" s="55">
        <f t="shared" si="43"/>
        <v>0</v>
      </c>
      <c r="H152" s="436">
        <f t="shared" si="44"/>
        <v>0</v>
      </c>
      <c r="I152" s="437">
        <f t="shared" si="45"/>
        <v>0</v>
      </c>
      <c r="J152" s="54">
        <f t="shared" si="47"/>
        <v>0</v>
      </c>
      <c r="K152" s="54"/>
      <c r="L152" s="115"/>
      <c r="M152" s="54">
        <f t="shared" si="48"/>
        <v>0</v>
      </c>
      <c r="N152" s="115"/>
      <c r="O152" s="54">
        <f t="shared" si="49"/>
        <v>0</v>
      </c>
      <c r="P152" s="54">
        <f t="shared" si="50"/>
        <v>0</v>
      </c>
    </row>
    <row r="153" spans="2:16" ht="12.5">
      <c r="B153" s="7" t="str">
        <f t="shared" si="29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41"/>
        <v>0</v>
      </c>
      <c r="F153" s="55">
        <f t="shared" si="42"/>
        <v>0</v>
      </c>
      <c r="G153" s="55">
        <f t="shared" si="43"/>
        <v>0</v>
      </c>
      <c r="H153" s="436">
        <f t="shared" si="44"/>
        <v>0</v>
      </c>
      <c r="I153" s="437">
        <f t="shared" si="45"/>
        <v>0</v>
      </c>
      <c r="J153" s="54">
        <f t="shared" si="47"/>
        <v>0</v>
      </c>
      <c r="K153" s="54"/>
      <c r="L153" s="115"/>
      <c r="M153" s="54">
        <f t="shared" si="48"/>
        <v>0</v>
      </c>
      <c r="N153" s="115"/>
      <c r="O153" s="54">
        <f t="shared" si="49"/>
        <v>0</v>
      </c>
      <c r="P153" s="54">
        <f t="shared" si="50"/>
        <v>0</v>
      </c>
    </row>
    <row r="154" spans="2:16" ht="13" thickBot="1">
      <c r="B154" s="7" t="str">
        <f t="shared" si="29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41"/>
        <v>0</v>
      </c>
      <c r="F154" s="59">
        <f t="shared" si="42"/>
        <v>0</v>
      </c>
      <c r="G154" s="59">
        <f t="shared" si="43"/>
        <v>0</v>
      </c>
      <c r="H154" s="438">
        <f t="shared" si="44"/>
        <v>0</v>
      </c>
      <c r="I154" s="439">
        <f t="shared" si="45"/>
        <v>0</v>
      </c>
      <c r="J154" s="62">
        <f t="shared" si="47"/>
        <v>0</v>
      </c>
      <c r="K154" s="54"/>
      <c r="L154" s="116"/>
      <c r="M154" s="62">
        <f t="shared" si="48"/>
        <v>0</v>
      </c>
      <c r="N154" s="116"/>
      <c r="O154" s="62">
        <f t="shared" si="49"/>
        <v>0</v>
      </c>
      <c r="P154" s="62">
        <f t="shared" si="50"/>
        <v>0</v>
      </c>
    </row>
    <row r="155" spans="2:16" ht="12.5">
      <c r="C155" s="12" t="s">
        <v>77</v>
      </c>
      <c r="D155" s="267"/>
      <c r="E155" s="267">
        <f>SUM(E99:E154)</f>
        <v>5058589</v>
      </c>
      <c r="F155" s="267"/>
      <c r="G155" s="267"/>
      <c r="H155" s="267">
        <f>SUM(H99:H154)</f>
        <v>17255170.641802777</v>
      </c>
      <c r="I155" s="267">
        <f>SUM(I99:I154)</f>
        <v>17255170.641802777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2"/>
  <sheetViews>
    <sheetView topLeftCell="A44" zoomScale="86" zoomScaleNormal="86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28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302141.48498551024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302141.48498551024</v>
      </c>
      <c r="O6" s="1"/>
      <c r="P6" s="1"/>
    </row>
    <row r="7" spans="1:16" ht="13.5" thickBot="1">
      <c r="C7" s="26" t="s">
        <v>46</v>
      </c>
      <c r="D7" s="440" t="s">
        <v>336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3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339</v>
      </c>
      <c r="E9" s="442" t="s">
        <v>340</v>
      </c>
      <c r="F9" s="32"/>
      <c r="G9" s="452" t="s">
        <v>414</v>
      </c>
      <c r="H9" s="32"/>
      <c r="I9" s="33"/>
      <c r="J9" s="34"/>
      <c r="P9" s="1"/>
    </row>
    <row r="10" spans="1:16" ht="13">
      <c r="C10" s="128" t="s">
        <v>226</v>
      </c>
      <c r="D10" s="336">
        <v>2394352.8200000003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2020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63009.284736842113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2020</v>
      </c>
      <c r="D17" s="411">
        <v>0</v>
      </c>
      <c r="E17" s="412">
        <v>19964.285714285714</v>
      </c>
      <c r="F17" s="411">
        <v>1657035.7142857143</v>
      </c>
      <c r="G17" s="412">
        <v>109448.17204091245</v>
      </c>
      <c r="H17" s="414">
        <v>109448.17204091245</v>
      </c>
      <c r="I17" s="52">
        <f>H17-G17</f>
        <v>0</v>
      </c>
      <c r="J17" s="52"/>
      <c r="K17" s="117">
        <f t="shared" ref="K17:K22" si="0">+G17</f>
        <v>109448.17204091245</v>
      </c>
      <c r="L17" s="53">
        <f t="shared" ref="L17:L18" si="1">IF(K17&lt;&gt;0,+G17-K17,0)</f>
        <v>0</v>
      </c>
      <c r="M17" s="117">
        <f t="shared" ref="M17:M22" si="2">+H17</f>
        <v>109448.17204091245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2021</v>
      </c>
      <c r="D18" s="411">
        <v>2325985.7142857141</v>
      </c>
      <c r="E18" s="412">
        <v>54556.976744186046</v>
      </c>
      <c r="F18" s="411">
        <v>2271428.737541528</v>
      </c>
      <c r="G18" s="412">
        <v>302407.38707255269</v>
      </c>
      <c r="H18" s="414">
        <v>302407.38707255269</v>
      </c>
      <c r="I18" s="52">
        <f>H18-G18</f>
        <v>0</v>
      </c>
      <c r="J18" s="52"/>
      <c r="K18" s="54">
        <f t="shared" si="0"/>
        <v>302407.38707255269</v>
      </c>
      <c r="L18" s="54">
        <f t="shared" si="1"/>
        <v>0</v>
      </c>
      <c r="M18" s="54">
        <f t="shared" si="2"/>
        <v>302407.38707255269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2022</v>
      </c>
      <c r="D19" s="411">
        <v>2462567.7375415284</v>
      </c>
      <c r="E19" s="412">
        <v>60406.880952380954</v>
      </c>
      <c r="F19" s="411">
        <v>2402160.8565891474</v>
      </c>
      <c r="G19" s="412">
        <v>322643.1060760754</v>
      </c>
      <c r="H19" s="414">
        <v>322643.1060760754</v>
      </c>
      <c r="I19" s="52">
        <f t="shared" ref="I19:I71" si="5">H19-G19</f>
        <v>0</v>
      </c>
      <c r="J19" s="52"/>
      <c r="K19" s="54">
        <f t="shared" si="0"/>
        <v>322643.1060760754</v>
      </c>
      <c r="L19" s="54">
        <f t="shared" ref="L19" si="6">IF(K19&lt;&gt;0,+G19-K19,0)</f>
        <v>0</v>
      </c>
      <c r="M19" s="54">
        <f t="shared" si="2"/>
        <v>322643.1060760754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2023</v>
      </c>
      <c r="D20" s="411">
        <v>2401460.3765891474</v>
      </c>
      <c r="E20" s="412">
        <v>65035.603076923078</v>
      </c>
      <c r="F20" s="411">
        <v>2336424.7735122242</v>
      </c>
      <c r="G20" s="412">
        <v>347790.10300118127</v>
      </c>
      <c r="H20" s="414">
        <v>347790.10300118127</v>
      </c>
      <c r="I20" s="52">
        <f t="shared" si="5"/>
        <v>0</v>
      </c>
      <c r="J20" s="52"/>
      <c r="K20" s="54">
        <f t="shared" si="0"/>
        <v>347790.10300118127</v>
      </c>
      <c r="L20" s="54">
        <f t="shared" ref="L20" si="8">IF(K20&lt;&gt;0,+G20-K20,0)</f>
        <v>0</v>
      </c>
      <c r="M20" s="54">
        <f t="shared" si="2"/>
        <v>347790.10300118127</v>
      </c>
      <c r="N20" s="54">
        <f t="shared" ref="N20" si="9">IF(M20&lt;&gt;0,+H20-M20,0)</f>
        <v>0</v>
      </c>
      <c r="O20" s="54">
        <f t="shared" ref="O20" si="10">+N20-L20</f>
        <v>0</v>
      </c>
      <c r="P20" s="1"/>
    </row>
    <row r="21" spans="2:16" ht="12.5">
      <c r="B21" s="7" t="str">
        <f t="shared" si="7"/>
        <v>IU</v>
      </c>
      <c r="C21" s="450">
        <f>IF(D11="","-",+C20+1)</f>
        <v>2024</v>
      </c>
      <c r="D21" s="411">
        <v>2194830.2535122242</v>
      </c>
      <c r="E21" s="412">
        <v>63020.894736842107</v>
      </c>
      <c r="F21" s="411">
        <v>2131809.3587753819</v>
      </c>
      <c r="G21" s="412">
        <v>309077.29528227838</v>
      </c>
      <c r="H21" s="414">
        <v>309077.29528227838</v>
      </c>
      <c r="I21" s="52">
        <f t="shared" si="5"/>
        <v>0</v>
      </c>
      <c r="J21" s="52"/>
      <c r="K21" s="54">
        <f t="shared" si="0"/>
        <v>309077.29528227838</v>
      </c>
      <c r="L21" s="54">
        <f t="shared" ref="L21" si="11">IF(K21&lt;&gt;0,+G21-K21,0)</f>
        <v>0</v>
      </c>
      <c r="M21" s="54">
        <f t="shared" si="2"/>
        <v>309077.29528227838</v>
      </c>
      <c r="N21" s="54">
        <f t="shared" ref="N21" si="12">IF(M21&lt;&gt;0,+H21-M21,0)</f>
        <v>0</v>
      </c>
      <c r="O21" s="54">
        <f t="shared" ref="O21" si="13">+N21-L21</f>
        <v>0</v>
      </c>
      <c r="P21" s="1"/>
    </row>
    <row r="22" spans="2:16" ht="13">
      <c r="B22" s="7" t="str">
        <f t="shared" si="7"/>
        <v>IU</v>
      </c>
      <c r="C22" s="449">
        <f>IF(D11="","-",+C21+1)</f>
        <v>2025</v>
      </c>
      <c r="D22" s="411">
        <v>2131368.1787753822</v>
      </c>
      <c r="E22" s="412">
        <v>63009.284736842113</v>
      </c>
      <c r="F22" s="411">
        <v>2068358.8940385401</v>
      </c>
      <c r="G22" s="412">
        <v>301567.41938226245</v>
      </c>
      <c r="H22" s="414">
        <v>301567.41938226245</v>
      </c>
      <c r="I22" s="52">
        <f t="shared" si="5"/>
        <v>0</v>
      </c>
      <c r="J22" s="52"/>
      <c r="K22" s="54">
        <f t="shared" si="0"/>
        <v>301567.41938226245</v>
      </c>
      <c r="L22" s="54">
        <f t="shared" ref="L22" si="14">IF(K22&lt;&gt;0,+G22-K22,0)</f>
        <v>0</v>
      </c>
      <c r="M22" s="54">
        <f t="shared" si="2"/>
        <v>301567.41938226245</v>
      </c>
      <c r="N22" s="54">
        <f t="shared" ref="N22" si="15">IF(M22&lt;&gt;0,+H22-M22,0)</f>
        <v>0</v>
      </c>
      <c r="O22" s="54">
        <f t="shared" ref="O22" si="16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2026</v>
      </c>
      <c r="D23" s="55">
        <f>IF(F22+SUM(E$17:E22)=D$10,F22,D$10-SUM(E$17:E22))</f>
        <v>2068358.8940385401</v>
      </c>
      <c r="E23" s="354">
        <f t="shared" ref="E23:E71" si="17">IF(+I$14&lt;F22,I$14,D23)</f>
        <v>63009.284736842113</v>
      </c>
      <c r="F23" s="55">
        <f t="shared" ref="F23:F71" si="18">+D23-E23</f>
        <v>2005349.6093016979</v>
      </c>
      <c r="G23" s="355">
        <f t="shared" ref="G23:G71" si="19">(D23+F23)/2*I$12+E23</f>
        <v>302141.48498551024</v>
      </c>
      <c r="H23" s="337">
        <f t="shared" ref="H23:H71" si="20">+(D23+F23)/2*I$13+E23</f>
        <v>302141.48498551024</v>
      </c>
      <c r="I23" s="52">
        <f t="shared" si="5"/>
        <v>0</v>
      </c>
      <c r="J23" s="52"/>
      <c r="K23" s="115"/>
      <c r="L23" s="54">
        <f t="shared" ref="L23:L72" si="21">IF(K23&lt;&gt;0,+G23-K23,0)</f>
        <v>0</v>
      </c>
      <c r="M23" s="115"/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2027</v>
      </c>
      <c r="D24" s="55">
        <f>IF(F23+SUM(E$17:E23)=D$10,F23,D$10-SUM(E$17:E23))</f>
        <v>2005349.6093016979</v>
      </c>
      <c r="E24" s="354">
        <f t="shared" si="17"/>
        <v>63009.284736842113</v>
      </c>
      <c r="F24" s="55">
        <f t="shared" si="18"/>
        <v>1942340.3245648558</v>
      </c>
      <c r="G24" s="355">
        <f t="shared" si="19"/>
        <v>294744.02447361487</v>
      </c>
      <c r="H24" s="337">
        <f t="shared" si="20"/>
        <v>294744.02447361487</v>
      </c>
      <c r="I24" s="52">
        <f t="shared" si="5"/>
        <v>0</v>
      </c>
      <c r="J24" s="52"/>
      <c r="K24" s="115"/>
      <c r="L24" s="54">
        <f t="shared" si="21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2028</v>
      </c>
      <c r="D25" s="55">
        <f>IF(F24+SUM(E$17:E24)=D$10,F24,D$10-SUM(E$17:E24))</f>
        <v>1942340.3245648558</v>
      </c>
      <c r="E25" s="354">
        <f t="shared" si="17"/>
        <v>63009.284736842113</v>
      </c>
      <c r="F25" s="55">
        <f t="shared" si="18"/>
        <v>1879331.0398280136</v>
      </c>
      <c r="G25" s="355">
        <f t="shared" si="19"/>
        <v>287346.56396171951</v>
      </c>
      <c r="H25" s="337">
        <f t="shared" si="20"/>
        <v>287346.56396171951</v>
      </c>
      <c r="I25" s="52">
        <f t="shared" si="5"/>
        <v>0</v>
      </c>
      <c r="J25" s="52"/>
      <c r="K25" s="115"/>
      <c r="L25" s="54">
        <f t="shared" si="2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2029</v>
      </c>
      <c r="D26" s="55">
        <f>IF(F25+SUM(E$17:E25)=D$10,F25,D$10-SUM(E$17:E25))</f>
        <v>1879331.0398280136</v>
      </c>
      <c r="E26" s="354">
        <f t="shared" si="17"/>
        <v>63009.284736842113</v>
      </c>
      <c r="F26" s="55">
        <f t="shared" si="18"/>
        <v>1816321.7550911715</v>
      </c>
      <c r="G26" s="355">
        <f t="shared" si="19"/>
        <v>279949.10344982415</v>
      </c>
      <c r="H26" s="337">
        <f t="shared" si="20"/>
        <v>279949.10344982415</v>
      </c>
      <c r="I26" s="52">
        <f t="shared" si="5"/>
        <v>0</v>
      </c>
      <c r="J26" s="52"/>
      <c r="K26" s="115"/>
      <c r="L26" s="54">
        <f t="shared" si="2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2030</v>
      </c>
      <c r="D27" s="55">
        <f>IF(F26+SUM(E$17:E26)=D$10,F26,D$10-SUM(E$17:E26))</f>
        <v>1816321.7550911715</v>
      </c>
      <c r="E27" s="354">
        <f t="shared" si="17"/>
        <v>63009.284736842113</v>
      </c>
      <c r="F27" s="55">
        <f t="shared" si="18"/>
        <v>1753312.4703543293</v>
      </c>
      <c r="G27" s="355">
        <f t="shared" si="19"/>
        <v>272551.64293792879</v>
      </c>
      <c r="H27" s="337">
        <f t="shared" si="20"/>
        <v>272551.64293792879</v>
      </c>
      <c r="I27" s="52">
        <f t="shared" si="5"/>
        <v>0</v>
      </c>
      <c r="J27" s="52"/>
      <c r="K27" s="115"/>
      <c r="L27" s="54">
        <f t="shared" si="2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2031</v>
      </c>
      <c r="D28" s="55">
        <f>IF(F27+SUM(E$17:E27)=D$10,F27,D$10-SUM(E$17:E27))</f>
        <v>1753312.4703543293</v>
      </c>
      <c r="E28" s="354">
        <f t="shared" si="17"/>
        <v>63009.284736842113</v>
      </c>
      <c r="F28" s="55">
        <f t="shared" si="18"/>
        <v>1690303.1856174872</v>
      </c>
      <c r="G28" s="355">
        <f t="shared" si="19"/>
        <v>265154.18242603343</v>
      </c>
      <c r="H28" s="337">
        <f t="shared" si="20"/>
        <v>265154.18242603343</v>
      </c>
      <c r="I28" s="52">
        <f t="shared" si="5"/>
        <v>0</v>
      </c>
      <c r="J28" s="52"/>
      <c r="K28" s="115"/>
      <c r="L28" s="54">
        <f t="shared" si="2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2032</v>
      </c>
      <c r="D29" s="55">
        <f>IF(F28+SUM(E$17:E28)=D$10,F28,D$10-SUM(E$17:E28))</f>
        <v>1690303.1856174872</v>
      </c>
      <c r="E29" s="354">
        <f t="shared" si="17"/>
        <v>63009.284736842113</v>
      </c>
      <c r="F29" s="55">
        <f t="shared" si="18"/>
        <v>1627293.900880645</v>
      </c>
      <c r="G29" s="355">
        <f t="shared" si="19"/>
        <v>257756.72191413806</v>
      </c>
      <c r="H29" s="337">
        <f t="shared" si="20"/>
        <v>257756.72191413806</v>
      </c>
      <c r="I29" s="52">
        <f t="shared" si="5"/>
        <v>0</v>
      </c>
      <c r="J29" s="52"/>
      <c r="K29" s="115"/>
      <c r="L29" s="54">
        <f t="shared" si="2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2033</v>
      </c>
      <c r="D30" s="55">
        <f>IF(F29+SUM(E$17:E29)=D$10,F29,D$10-SUM(E$17:E29))</f>
        <v>1627293.900880645</v>
      </c>
      <c r="E30" s="354">
        <f t="shared" si="17"/>
        <v>63009.284736842113</v>
      </c>
      <c r="F30" s="55">
        <f t="shared" si="18"/>
        <v>1564284.6161438029</v>
      </c>
      <c r="G30" s="355">
        <f t="shared" si="19"/>
        <v>250359.26140224273</v>
      </c>
      <c r="H30" s="337">
        <f t="shared" si="20"/>
        <v>250359.26140224273</v>
      </c>
      <c r="I30" s="52">
        <f t="shared" si="5"/>
        <v>0</v>
      </c>
      <c r="J30" s="52"/>
      <c r="K30" s="115"/>
      <c r="L30" s="54">
        <f t="shared" si="2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2034</v>
      </c>
      <c r="D31" s="55">
        <f>IF(F30+SUM(E$17:E30)=D$10,F30,D$10-SUM(E$17:E30))</f>
        <v>1564284.6161438029</v>
      </c>
      <c r="E31" s="354">
        <f t="shared" si="17"/>
        <v>63009.284736842113</v>
      </c>
      <c r="F31" s="55">
        <f t="shared" si="18"/>
        <v>1501275.3314069607</v>
      </c>
      <c r="G31" s="355">
        <f t="shared" si="19"/>
        <v>242961.80089034734</v>
      </c>
      <c r="H31" s="337">
        <f t="shared" si="20"/>
        <v>242961.80089034734</v>
      </c>
      <c r="I31" s="52">
        <f t="shared" si="5"/>
        <v>0</v>
      </c>
      <c r="J31" s="52"/>
      <c r="K31" s="115"/>
      <c r="L31" s="54">
        <f t="shared" si="2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2035</v>
      </c>
      <c r="D32" s="55">
        <f>IF(F31+SUM(E$17:E31)=D$10,F31,D$10-SUM(E$17:E31))</f>
        <v>1501275.3314069607</v>
      </c>
      <c r="E32" s="354">
        <f t="shared" si="17"/>
        <v>63009.284736842113</v>
      </c>
      <c r="F32" s="55">
        <f t="shared" si="18"/>
        <v>1438266.0466701186</v>
      </c>
      <c r="G32" s="355">
        <f t="shared" si="19"/>
        <v>235564.34037845201</v>
      </c>
      <c r="H32" s="337">
        <f t="shared" si="20"/>
        <v>235564.34037845201</v>
      </c>
      <c r="I32" s="52">
        <f t="shared" si="5"/>
        <v>0</v>
      </c>
      <c r="J32" s="52"/>
      <c r="K32" s="115"/>
      <c r="L32" s="54">
        <f t="shared" si="2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2036</v>
      </c>
      <c r="D33" s="55">
        <f>IF(F32+SUM(E$17:E32)=D$10,F32,D$10-SUM(E$17:E32))</f>
        <v>1438266.0466701186</v>
      </c>
      <c r="E33" s="354">
        <f t="shared" si="17"/>
        <v>63009.284736842113</v>
      </c>
      <c r="F33" s="55">
        <f t="shared" si="18"/>
        <v>1375256.7619332764</v>
      </c>
      <c r="G33" s="355">
        <f t="shared" si="19"/>
        <v>228166.87986655661</v>
      </c>
      <c r="H33" s="337">
        <f t="shared" si="20"/>
        <v>228166.87986655661</v>
      </c>
      <c r="I33" s="52">
        <f t="shared" si="5"/>
        <v>0</v>
      </c>
      <c r="J33" s="52"/>
      <c r="K33" s="115"/>
      <c r="L33" s="54">
        <f t="shared" si="2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2037</v>
      </c>
      <c r="D34" s="55">
        <f>IF(F33+SUM(E$17:E33)=D$10,F33,D$10-SUM(E$17:E33))</f>
        <v>1375256.7619332764</v>
      </c>
      <c r="E34" s="354">
        <f t="shared" si="17"/>
        <v>63009.284736842113</v>
      </c>
      <c r="F34" s="55">
        <f t="shared" si="18"/>
        <v>1312247.4771964343</v>
      </c>
      <c r="G34" s="355">
        <f t="shared" si="19"/>
        <v>220769.41935466128</v>
      </c>
      <c r="H34" s="337">
        <f t="shared" si="20"/>
        <v>220769.41935466128</v>
      </c>
      <c r="I34" s="52">
        <f t="shared" si="5"/>
        <v>0</v>
      </c>
      <c r="J34" s="52"/>
      <c r="K34" s="115"/>
      <c r="L34" s="54">
        <f t="shared" si="2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2038</v>
      </c>
      <c r="D35" s="55">
        <f>IF(F34+SUM(E$17:E34)=D$10,F34,D$10-SUM(E$17:E34))</f>
        <v>1312247.4771964343</v>
      </c>
      <c r="E35" s="354">
        <f t="shared" si="17"/>
        <v>63009.284736842113</v>
      </c>
      <c r="F35" s="55">
        <f t="shared" si="18"/>
        <v>1249238.1924595921</v>
      </c>
      <c r="G35" s="355">
        <f t="shared" si="19"/>
        <v>213371.95884276589</v>
      </c>
      <c r="H35" s="337">
        <f t="shared" si="20"/>
        <v>213371.95884276589</v>
      </c>
      <c r="I35" s="52">
        <f t="shared" si="5"/>
        <v>0</v>
      </c>
      <c r="J35" s="52"/>
      <c r="K35" s="115"/>
      <c r="L35" s="54">
        <f t="shared" si="2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2039</v>
      </c>
      <c r="D36" s="55">
        <f>IF(F35+SUM(E$17:E35)=D$10,F35,D$10-SUM(E$17:E35))</f>
        <v>1249238.1924595921</v>
      </c>
      <c r="E36" s="354">
        <f t="shared" si="17"/>
        <v>63009.284736842113</v>
      </c>
      <c r="F36" s="55">
        <f t="shared" si="18"/>
        <v>1186228.90772275</v>
      </c>
      <c r="G36" s="355">
        <f t="shared" si="19"/>
        <v>205974.49833087056</v>
      </c>
      <c r="H36" s="337">
        <f t="shared" si="20"/>
        <v>205974.49833087056</v>
      </c>
      <c r="I36" s="52">
        <f t="shared" si="5"/>
        <v>0</v>
      </c>
      <c r="J36" s="52"/>
      <c r="K36" s="115"/>
      <c r="L36" s="54">
        <f t="shared" si="2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2040</v>
      </c>
      <c r="D37" s="55">
        <f>IF(F36+SUM(E$17:E36)=D$10,F36,D$10-SUM(E$17:E36))</f>
        <v>1186228.90772275</v>
      </c>
      <c r="E37" s="354">
        <f t="shared" si="17"/>
        <v>63009.284736842113</v>
      </c>
      <c r="F37" s="55">
        <f t="shared" si="18"/>
        <v>1123219.6229859078</v>
      </c>
      <c r="G37" s="355">
        <f t="shared" si="19"/>
        <v>198577.03781897516</v>
      </c>
      <c r="H37" s="337">
        <f t="shared" si="20"/>
        <v>198577.03781897516</v>
      </c>
      <c r="I37" s="52">
        <f t="shared" si="5"/>
        <v>0</v>
      </c>
      <c r="J37" s="52"/>
      <c r="K37" s="115"/>
      <c r="L37" s="54">
        <f t="shared" si="2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2041</v>
      </c>
      <c r="D38" s="55">
        <f>IF(F37+SUM(E$17:E37)=D$10,F37,D$10-SUM(E$17:E37))</f>
        <v>1123219.6229859078</v>
      </c>
      <c r="E38" s="354">
        <f t="shared" si="17"/>
        <v>63009.284736842113</v>
      </c>
      <c r="F38" s="55">
        <f t="shared" si="18"/>
        <v>1060210.3382490657</v>
      </c>
      <c r="G38" s="355">
        <f t="shared" si="19"/>
        <v>191179.5773070798</v>
      </c>
      <c r="H38" s="337">
        <f t="shared" si="20"/>
        <v>191179.5773070798</v>
      </c>
      <c r="I38" s="52">
        <f t="shared" si="5"/>
        <v>0</v>
      </c>
      <c r="J38" s="52"/>
      <c r="K38" s="115"/>
      <c r="L38" s="54">
        <f t="shared" si="2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2042</v>
      </c>
      <c r="D39" s="55">
        <f>IF(F38+SUM(E$17:E38)=D$10,F38,D$10-SUM(E$17:E38))</f>
        <v>1060210.3382490657</v>
      </c>
      <c r="E39" s="354">
        <f t="shared" si="17"/>
        <v>63009.284736842113</v>
      </c>
      <c r="F39" s="55">
        <f t="shared" si="18"/>
        <v>997201.05351222353</v>
      </c>
      <c r="G39" s="355">
        <f t="shared" si="19"/>
        <v>183782.11679518444</v>
      </c>
      <c r="H39" s="337">
        <f t="shared" si="20"/>
        <v>183782.11679518444</v>
      </c>
      <c r="I39" s="52">
        <f t="shared" si="5"/>
        <v>0</v>
      </c>
      <c r="J39" s="52"/>
      <c r="K39" s="115"/>
      <c r="L39" s="54">
        <f t="shared" si="2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2043</v>
      </c>
      <c r="D40" s="55">
        <f>IF(F39+SUM(E$17:E39)=D$10,F39,D$10-SUM(E$17:E39))</f>
        <v>997201.05351222353</v>
      </c>
      <c r="E40" s="354">
        <f t="shared" si="17"/>
        <v>63009.284736842113</v>
      </c>
      <c r="F40" s="55">
        <f t="shared" si="18"/>
        <v>934191.76877538138</v>
      </c>
      <c r="G40" s="355">
        <f t="shared" si="19"/>
        <v>176384.65628328908</v>
      </c>
      <c r="H40" s="337">
        <f t="shared" si="20"/>
        <v>176384.65628328908</v>
      </c>
      <c r="I40" s="52">
        <f t="shared" si="5"/>
        <v>0</v>
      </c>
      <c r="J40" s="52"/>
      <c r="K40" s="115"/>
      <c r="L40" s="54">
        <f t="shared" si="2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2044</v>
      </c>
      <c r="D41" s="55">
        <f>IF(F40+SUM(E$17:E40)=D$10,F40,D$10-SUM(E$17:E40))</f>
        <v>934191.76877538138</v>
      </c>
      <c r="E41" s="354">
        <f t="shared" si="17"/>
        <v>63009.284736842113</v>
      </c>
      <c r="F41" s="55">
        <f t="shared" si="18"/>
        <v>871182.48403853923</v>
      </c>
      <c r="G41" s="355">
        <f t="shared" si="19"/>
        <v>168987.19577139372</v>
      </c>
      <c r="H41" s="337">
        <f t="shared" si="20"/>
        <v>168987.19577139372</v>
      </c>
      <c r="I41" s="52">
        <f t="shared" si="5"/>
        <v>0</v>
      </c>
      <c r="J41" s="52"/>
      <c r="K41" s="115"/>
      <c r="L41" s="54">
        <f t="shared" si="2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2045</v>
      </c>
      <c r="D42" s="55">
        <f>IF(F41+SUM(E$17:E41)=D$10,F41,D$10-SUM(E$17:E41))</f>
        <v>871182.48403853923</v>
      </c>
      <c r="E42" s="354">
        <f t="shared" si="17"/>
        <v>63009.284736842113</v>
      </c>
      <c r="F42" s="55">
        <f t="shared" si="18"/>
        <v>808173.19930169708</v>
      </c>
      <c r="G42" s="355">
        <f t="shared" si="19"/>
        <v>161589.73525949835</v>
      </c>
      <c r="H42" s="337">
        <f t="shared" si="20"/>
        <v>161589.73525949835</v>
      </c>
      <c r="I42" s="52">
        <f t="shared" si="5"/>
        <v>0</v>
      </c>
      <c r="J42" s="52"/>
      <c r="K42" s="115"/>
      <c r="L42" s="54">
        <f t="shared" si="2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2046</v>
      </c>
      <c r="D43" s="55">
        <f>IF(F42+SUM(E$17:E42)=D$10,F42,D$10-SUM(E$17:E42))</f>
        <v>808173.19930169708</v>
      </c>
      <c r="E43" s="354">
        <f t="shared" si="17"/>
        <v>63009.284736842113</v>
      </c>
      <c r="F43" s="55">
        <f t="shared" si="18"/>
        <v>745163.91456485493</v>
      </c>
      <c r="G43" s="355">
        <f t="shared" si="19"/>
        <v>154192.27474760299</v>
      </c>
      <c r="H43" s="337">
        <f t="shared" si="20"/>
        <v>154192.27474760299</v>
      </c>
      <c r="I43" s="52">
        <f t="shared" si="5"/>
        <v>0</v>
      </c>
      <c r="J43" s="52"/>
      <c r="K43" s="115"/>
      <c r="L43" s="54">
        <f t="shared" si="2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2047</v>
      </c>
      <c r="D44" s="55">
        <f>IF(F43+SUM(E$17:E43)=D$10,F43,D$10-SUM(E$17:E43))</f>
        <v>745163.91456485493</v>
      </c>
      <c r="E44" s="354">
        <f t="shared" si="17"/>
        <v>63009.284736842113</v>
      </c>
      <c r="F44" s="55">
        <f t="shared" si="18"/>
        <v>682154.62982801278</v>
      </c>
      <c r="G44" s="355">
        <f t="shared" si="19"/>
        <v>146794.81423570763</v>
      </c>
      <c r="H44" s="337">
        <f t="shared" si="20"/>
        <v>146794.81423570763</v>
      </c>
      <c r="I44" s="52">
        <f t="shared" si="5"/>
        <v>0</v>
      </c>
      <c r="J44" s="52"/>
      <c r="K44" s="115"/>
      <c r="L44" s="54">
        <f t="shared" si="2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2048</v>
      </c>
      <c r="D45" s="55">
        <f>IF(F44+SUM(E$17:E44)=D$10,F44,D$10-SUM(E$17:E44))</f>
        <v>682154.62982801278</v>
      </c>
      <c r="E45" s="354">
        <f t="shared" si="17"/>
        <v>63009.284736842113</v>
      </c>
      <c r="F45" s="55">
        <f t="shared" si="18"/>
        <v>619145.34509117063</v>
      </c>
      <c r="G45" s="355">
        <f t="shared" si="19"/>
        <v>139397.35372381227</v>
      </c>
      <c r="H45" s="337">
        <f t="shared" si="20"/>
        <v>139397.35372381227</v>
      </c>
      <c r="I45" s="52">
        <f t="shared" si="5"/>
        <v>0</v>
      </c>
      <c r="J45" s="52"/>
      <c r="K45" s="115"/>
      <c r="L45" s="54">
        <f t="shared" si="2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2049</v>
      </c>
      <c r="D46" s="55">
        <f>IF(F45+SUM(E$17:E45)=D$10,F45,D$10-SUM(E$17:E45))</f>
        <v>619145.34509117063</v>
      </c>
      <c r="E46" s="354">
        <f t="shared" si="17"/>
        <v>63009.284736842113</v>
      </c>
      <c r="F46" s="55">
        <f t="shared" si="18"/>
        <v>556136.06035432848</v>
      </c>
      <c r="G46" s="355">
        <f t="shared" si="19"/>
        <v>131999.8932119169</v>
      </c>
      <c r="H46" s="337">
        <f t="shared" si="20"/>
        <v>131999.8932119169</v>
      </c>
      <c r="I46" s="52">
        <f t="shared" si="5"/>
        <v>0</v>
      </c>
      <c r="J46" s="52"/>
      <c r="K46" s="115"/>
      <c r="L46" s="54">
        <f t="shared" si="2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2050</v>
      </c>
      <c r="D47" s="55">
        <f>IF(F46+SUM(E$17:E46)=D$10,F46,D$10-SUM(E$17:E46))</f>
        <v>556136.06035432848</v>
      </c>
      <c r="E47" s="354">
        <f t="shared" si="17"/>
        <v>63009.284736842113</v>
      </c>
      <c r="F47" s="55">
        <f t="shared" si="18"/>
        <v>493126.77561748639</v>
      </c>
      <c r="G47" s="355">
        <f t="shared" si="19"/>
        <v>124602.43270002153</v>
      </c>
      <c r="H47" s="337">
        <f t="shared" si="20"/>
        <v>124602.43270002153</v>
      </c>
      <c r="I47" s="52">
        <f t="shared" si="5"/>
        <v>0</v>
      </c>
      <c r="J47" s="52"/>
      <c r="K47" s="115"/>
      <c r="L47" s="54">
        <f t="shared" si="2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2051</v>
      </c>
      <c r="D48" s="55">
        <f>IF(F47+SUM(E$17:E47)=D$10,F47,D$10-SUM(E$17:E47))</f>
        <v>493126.77561748639</v>
      </c>
      <c r="E48" s="354">
        <f t="shared" si="17"/>
        <v>63009.284736842113</v>
      </c>
      <c r="F48" s="55">
        <f t="shared" si="18"/>
        <v>430117.4908806443</v>
      </c>
      <c r="G48" s="355">
        <f t="shared" si="19"/>
        <v>117204.97218812618</v>
      </c>
      <c r="H48" s="337">
        <f t="shared" si="20"/>
        <v>117204.97218812618</v>
      </c>
      <c r="I48" s="52">
        <f t="shared" si="5"/>
        <v>0</v>
      </c>
      <c r="J48" s="52"/>
      <c r="K48" s="115"/>
      <c r="L48" s="54">
        <f t="shared" si="2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2052</v>
      </c>
      <c r="D49" s="55">
        <f>IF(F48+SUM(E$17:E48)=D$10,F48,D$10-SUM(E$17:E48))</f>
        <v>430117.4908806443</v>
      </c>
      <c r="E49" s="354">
        <f t="shared" si="17"/>
        <v>63009.284736842113</v>
      </c>
      <c r="F49" s="55">
        <f t="shared" si="18"/>
        <v>367108.20614380221</v>
      </c>
      <c r="G49" s="355">
        <f t="shared" si="19"/>
        <v>109807.51167623082</v>
      </c>
      <c r="H49" s="337">
        <f t="shared" si="20"/>
        <v>109807.51167623082</v>
      </c>
      <c r="I49" s="52">
        <f t="shared" si="5"/>
        <v>0</v>
      </c>
      <c r="J49" s="52"/>
      <c r="K49" s="115"/>
      <c r="L49" s="54">
        <f t="shared" si="2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2053</v>
      </c>
      <c r="D50" s="55">
        <f>IF(F49+SUM(E$17:E49)=D$10,F49,D$10-SUM(E$17:E49))</f>
        <v>367108.20614380221</v>
      </c>
      <c r="E50" s="354">
        <f t="shared" si="17"/>
        <v>63009.284736842113</v>
      </c>
      <c r="F50" s="55">
        <f t="shared" si="18"/>
        <v>304098.92140696011</v>
      </c>
      <c r="G50" s="355">
        <f t="shared" si="19"/>
        <v>102410.05116433547</v>
      </c>
      <c r="H50" s="337">
        <f t="shared" si="20"/>
        <v>102410.05116433547</v>
      </c>
      <c r="I50" s="52">
        <f t="shared" si="5"/>
        <v>0</v>
      </c>
      <c r="J50" s="52"/>
      <c r="K50" s="115"/>
      <c r="L50" s="54">
        <f t="shared" si="2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2054</v>
      </c>
      <c r="D51" s="55">
        <f>IF(F50+SUM(E$17:E50)=D$10,F50,D$10-SUM(E$17:E50))</f>
        <v>304098.92140696011</v>
      </c>
      <c r="E51" s="354">
        <f t="shared" si="17"/>
        <v>63009.284736842113</v>
      </c>
      <c r="F51" s="55">
        <f t="shared" si="18"/>
        <v>241089.63667011799</v>
      </c>
      <c r="G51" s="355">
        <f t="shared" si="19"/>
        <v>95012.590652440107</v>
      </c>
      <c r="H51" s="337">
        <f t="shared" si="20"/>
        <v>95012.590652440107</v>
      </c>
      <c r="I51" s="52">
        <f t="shared" si="5"/>
        <v>0</v>
      </c>
      <c r="J51" s="52"/>
      <c r="K51" s="115"/>
      <c r="L51" s="54">
        <f t="shared" si="2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2055</v>
      </c>
      <c r="D52" s="55">
        <f>IF(F51+SUM(E$17:E51)=D$10,F51,D$10-SUM(E$17:E51))</f>
        <v>241089.63667011799</v>
      </c>
      <c r="E52" s="354">
        <f t="shared" si="17"/>
        <v>63009.284736842113</v>
      </c>
      <c r="F52" s="55">
        <f t="shared" si="18"/>
        <v>178080.35193327587</v>
      </c>
      <c r="G52" s="355">
        <f t="shared" si="19"/>
        <v>87615.130140544745</v>
      </c>
      <c r="H52" s="337">
        <f t="shared" si="20"/>
        <v>87615.130140544745</v>
      </c>
      <c r="I52" s="52">
        <f t="shared" si="5"/>
        <v>0</v>
      </c>
      <c r="J52" s="52"/>
      <c r="K52" s="115"/>
      <c r="L52" s="54">
        <f t="shared" si="2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2056</v>
      </c>
      <c r="D53" s="55">
        <f>IF(F52+SUM(E$17:E52)=D$10,F52,D$10-SUM(E$17:E52))</f>
        <v>178080.35193327587</v>
      </c>
      <c r="E53" s="354">
        <f t="shared" si="17"/>
        <v>63009.284736842113</v>
      </c>
      <c r="F53" s="55">
        <f t="shared" si="18"/>
        <v>115071.06719643375</v>
      </c>
      <c r="G53" s="355">
        <f t="shared" si="19"/>
        <v>80217.669628649383</v>
      </c>
      <c r="H53" s="337">
        <f t="shared" si="20"/>
        <v>80217.669628649383</v>
      </c>
      <c r="I53" s="52">
        <f t="shared" si="5"/>
        <v>0</v>
      </c>
      <c r="J53" s="52"/>
      <c r="K53" s="115"/>
      <c r="L53" s="54">
        <f t="shared" si="2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2057</v>
      </c>
      <c r="D54" s="55">
        <f>IF(F53+SUM(E$17:E53)=D$10,F53,D$10-SUM(E$17:E53))</f>
        <v>115071.06719643375</v>
      </c>
      <c r="E54" s="354">
        <f t="shared" si="17"/>
        <v>63009.284736842113</v>
      </c>
      <c r="F54" s="55">
        <f t="shared" si="18"/>
        <v>52061.782459591639</v>
      </c>
      <c r="G54" s="355">
        <f t="shared" si="19"/>
        <v>72820.20911675402</v>
      </c>
      <c r="H54" s="337">
        <f t="shared" si="20"/>
        <v>72820.20911675402</v>
      </c>
      <c r="I54" s="52">
        <f t="shared" si="5"/>
        <v>0</v>
      </c>
      <c r="J54" s="52"/>
      <c r="K54" s="115"/>
      <c r="L54" s="54">
        <f t="shared" si="2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2058</v>
      </c>
      <c r="D55" s="55">
        <f>IF(F54+SUM(E$17:E54)=D$10,F54,D$10-SUM(E$17:E54))</f>
        <v>52061.782459591639</v>
      </c>
      <c r="E55" s="354">
        <f t="shared" si="17"/>
        <v>52061.782459591639</v>
      </c>
      <c r="F55" s="55">
        <f t="shared" si="18"/>
        <v>0</v>
      </c>
      <c r="G55" s="355">
        <f t="shared" si="19"/>
        <v>55117.879521573755</v>
      </c>
      <c r="H55" s="337">
        <f t="shared" si="20"/>
        <v>55117.879521573755</v>
      </c>
      <c r="I55" s="52">
        <f t="shared" si="5"/>
        <v>0</v>
      </c>
      <c r="J55" s="52"/>
      <c r="K55" s="115"/>
      <c r="L55" s="54">
        <f t="shared" si="2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2059</v>
      </c>
      <c r="D56" s="55">
        <f>IF(F55+SUM(E$17:E55)=D$10,F55,D$10-SUM(E$17:E55))</f>
        <v>0</v>
      </c>
      <c r="E56" s="354">
        <f t="shared" si="17"/>
        <v>0</v>
      </c>
      <c r="F56" s="55">
        <f t="shared" si="18"/>
        <v>0</v>
      </c>
      <c r="G56" s="355">
        <f t="shared" si="19"/>
        <v>0</v>
      </c>
      <c r="H56" s="337">
        <f t="shared" si="20"/>
        <v>0</v>
      </c>
      <c r="I56" s="52">
        <f t="shared" si="5"/>
        <v>0</v>
      </c>
      <c r="J56" s="52"/>
      <c r="K56" s="115"/>
      <c r="L56" s="54">
        <f t="shared" si="2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2060</v>
      </c>
      <c r="D57" s="55">
        <f>IF(F56+SUM(E$17:E56)=D$10,F56,D$10-SUM(E$17:E56))</f>
        <v>0</v>
      </c>
      <c r="E57" s="354">
        <f t="shared" si="17"/>
        <v>0</v>
      </c>
      <c r="F57" s="55">
        <f t="shared" si="18"/>
        <v>0</v>
      </c>
      <c r="G57" s="355">
        <f t="shared" si="19"/>
        <v>0</v>
      </c>
      <c r="H57" s="337">
        <f t="shared" si="20"/>
        <v>0</v>
      </c>
      <c r="I57" s="52">
        <f t="shared" si="5"/>
        <v>0</v>
      </c>
      <c r="J57" s="52"/>
      <c r="K57" s="115"/>
      <c r="L57" s="54">
        <f t="shared" si="2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2061</v>
      </c>
      <c r="D58" s="55">
        <f>IF(F57+SUM(E$17:E57)=D$10,F57,D$10-SUM(E$17:E57))</f>
        <v>0</v>
      </c>
      <c r="E58" s="354">
        <f t="shared" si="17"/>
        <v>0</v>
      </c>
      <c r="F58" s="55">
        <f t="shared" si="18"/>
        <v>0</v>
      </c>
      <c r="G58" s="355">
        <f t="shared" si="19"/>
        <v>0</v>
      </c>
      <c r="H58" s="337">
        <f t="shared" si="20"/>
        <v>0</v>
      </c>
      <c r="I58" s="52">
        <f t="shared" si="5"/>
        <v>0</v>
      </c>
      <c r="J58" s="52"/>
      <c r="K58" s="115"/>
      <c r="L58" s="54">
        <f t="shared" si="2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2062</v>
      </c>
      <c r="D59" s="55">
        <f>IF(F58+SUM(E$17:E58)=D$10,F58,D$10-SUM(E$17:E58))</f>
        <v>0</v>
      </c>
      <c r="E59" s="354">
        <f t="shared" si="17"/>
        <v>0</v>
      </c>
      <c r="F59" s="55">
        <f t="shared" si="18"/>
        <v>0</v>
      </c>
      <c r="G59" s="355">
        <f t="shared" si="19"/>
        <v>0</v>
      </c>
      <c r="H59" s="337">
        <f t="shared" si="20"/>
        <v>0</v>
      </c>
      <c r="I59" s="52">
        <f t="shared" si="5"/>
        <v>0</v>
      </c>
      <c r="J59" s="52"/>
      <c r="K59" s="115"/>
      <c r="L59" s="54">
        <f t="shared" si="2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2063</v>
      </c>
      <c r="D60" s="55">
        <f>IF(F59+SUM(E$17:E59)=D$10,F59,D$10-SUM(E$17:E59))</f>
        <v>0</v>
      </c>
      <c r="E60" s="354">
        <f t="shared" si="17"/>
        <v>0</v>
      </c>
      <c r="F60" s="55">
        <f t="shared" si="18"/>
        <v>0</v>
      </c>
      <c r="G60" s="355">
        <f t="shared" si="19"/>
        <v>0</v>
      </c>
      <c r="H60" s="337">
        <f t="shared" si="20"/>
        <v>0</v>
      </c>
      <c r="I60" s="52">
        <f t="shared" si="5"/>
        <v>0</v>
      </c>
      <c r="J60" s="52"/>
      <c r="K60" s="115"/>
      <c r="L60" s="54">
        <f t="shared" si="2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2064</v>
      </c>
      <c r="D61" s="55">
        <f>IF(F60+SUM(E$17:E60)=D$10,F60,D$10-SUM(E$17:E60))</f>
        <v>0</v>
      </c>
      <c r="E61" s="354">
        <f t="shared" si="17"/>
        <v>0</v>
      </c>
      <c r="F61" s="55">
        <f t="shared" si="18"/>
        <v>0</v>
      </c>
      <c r="G61" s="355">
        <f t="shared" si="19"/>
        <v>0</v>
      </c>
      <c r="H61" s="337">
        <f t="shared" si="20"/>
        <v>0</v>
      </c>
      <c r="I61" s="52">
        <f t="shared" si="5"/>
        <v>0</v>
      </c>
      <c r="J61" s="52"/>
      <c r="K61" s="115"/>
      <c r="L61" s="54">
        <f t="shared" si="2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2065</v>
      </c>
      <c r="D62" s="55">
        <f>IF(F61+SUM(E$17:E61)=D$10,F61,D$10-SUM(E$17:E61))</f>
        <v>0</v>
      </c>
      <c r="E62" s="354">
        <f t="shared" si="17"/>
        <v>0</v>
      </c>
      <c r="F62" s="55">
        <f t="shared" si="18"/>
        <v>0</v>
      </c>
      <c r="G62" s="355">
        <f t="shared" si="19"/>
        <v>0</v>
      </c>
      <c r="H62" s="337">
        <f t="shared" si="20"/>
        <v>0</v>
      </c>
      <c r="I62" s="52">
        <f t="shared" si="5"/>
        <v>0</v>
      </c>
      <c r="J62" s="52"/>
      <c r="K62" s="115"/>
      <c r="L62" s="54">
        <f t="shared" si="2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2066</v>
      </c>
      <c r="D63" s="55">
        <f>IF(F62+SUM(E$17:E62)=D$10,F62,D$10-SUM(E$17:E62))</f>
        <v>0</v>
      </c>
      <c r="E63" s="354">
        <f t="shared" si="17"/>
        <v>0</v>
      </c>
      <c r="F63" s="55">
        <f t="shared" si="18"/>
        <v>0</v>
      </c>
      <c r="G63" s="355">
        <f t="shared" si="19"/>
        <v>0</v>
      </c>
      <c r="H63" s="337">
        <f t="shared" si="20"/>
        <v>0</v>
      </c>
      <c r="I63" s="52">
        <f t="shared" si="5"/>
        <v>0</v>
      </c>
      <c r="J63" s="52"/>
      <c r="K63" s="115"/>
      <c r="L63" s="54">
        <f t="shared" si="2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2067</v>
      </c>
      <c r="D64" s="55">
        <f>IF(F63+SUM(E$17:E63)=D$10,F63,D$10-SUM(E$17:E63))</f>
        <v>0</v>
      </c>
      <c r="E64" s="354">
        <f t="shared" si="17"/>
        <v>0</v>
      </c>
      <c r="F64" s="55">
        <f t="shared" si="18"/>
        <v>0</v>
      </c>
      <c r="G64" s="355">
        <f t="shared" si="19"/>
        <v>0</v>
      </c>
      <c r="H64" s="337">
        <f t="shared" si="20"/>
        <v>0</v>
      </c>
      <c r="I64" s="52">
        <f t="shared" si="5"/>
        <v>0</v>
      </c>
      <c r="J64" s="52"/>
      <c r="K64" s="115"/>
      <c r="L64" s="54">
        <f t="shared" si="2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2068</v>
      </c>
      <c r="D65" s="55">
        <f>IF(F64+SUM(E$17:E64)=D$10,F64,D$10-SUM(E$17:E64))</f>
        <v>0</v>
      </c>
      <c r="E65" s="354">
        <f t="shared" si="17"/>
        <v>0</v>
      </c>
      <c r="F65" s="55">
        <f t="shared" si="18"/>
        <v>0</v>
      </c>
      <c r="G65" s="355">
        <f t="shared" si="19"/>
        <v>0</v>
      </c>
      <c r="H65" s="337">
        <f t="shared" si="20"/>
        <v>0</v>
      </c>
      <c r="I65" s="52">
        <f t="shared" si="5"/>
        <v>0</v>
      </c>
      <c r="J65" s="52"/>
      <c r="K65" s="115"/>
      <c r="L65" s="54">
        <f t="shared" si="2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2069</v>
      </c>
      <c r="D66" s="55">
        <f>IF(F65+SUM(E$17:E65)=D$10,F65,D$10-SUM(E$17:E65))</f>
        <v>0</v>
      </c>
      <c r="E66" s="354">
        <f t="shared" si="17"/>
        <v>0</v>
      </c>
      <c r="F66" s="55">
        <f t="shared" si="18"/>
        <v>0</v>
      </c>
      <c r="G66" s="355">
        <f t="shared" si="19"/>
        <v>0</v>
      </c>
      <c r="H66" s="337">
        <f t="shared" si="20"/>
        <v>0</v>
      </c>
      <c r="I66" s="52">
        <f t="shared" si="5"/>
        <v>0</v>
      </c>
      <c r="J66" s="52"/>
      <c r="K66" s="115"/>
      <c r="L66" s="54">
        <f t="shared" si="2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2070</v>
      </c>
      <c r="D67" s="55">
        <f>IF(F66+SUM(E$17:E66)=D$10,F66,D$10-SUM(E$17:E66))</f>
        <v>0</v>
      </c>
      <c r="E67" s="354">
        <f t="shared" si="17"/>
        <v>0</v>
      </c>
      <c r="F67" s="55">
        <f t="shared" si="18"/>
        <v>0</v>
      </c>
      <c r="G67" s="355">
        <f t="shared" si="19"/>
        <v>0</v>
      </c>
      <c r="H67" s="337">
        <f t="shared" si="20"/>
        <v>0</v>
      </c>
      <c r="I67" s="52">
        <f t="shared" si="5"/>
        <v>0</v>
      </c>
      <c r="J67" s="52"/>
      <c r="K67" s="115"/>
      <c r="L67" s="54">
        <f t="shared" si="2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2071</v>
      </c>
      <c r="D68" s="55">
        <f>IF(F67+SUM(E$17:E67)=D$10,F67,D$10-SUM(E$17:E67))</f>
        <v>0</v>
      </c>
      <c r="E68" s="354">
        <f t="shared" si="17"/>
        <v>0</v>
      </c>
      <c r="F68" s="55">
        <f t="shared" si="18"/>
        <v>0</v>
      </c>
      <c r="G68" s="355">
        <f t="shared" si="19"/>
        <v>0</v>
      </c>
      <c r="H68" s="337">
        <f t="shared" si="20"/>
        <v>0</v>
      </c>
      <c r="I68" s="52">
        <f t="shared" si="5"/>
        <v>0</v>
      </c>
      <c r="J68" s="52"/>
      <c r="K68" s="115"/>
      <c r="L68" s="54">
        <f t="shared" si="2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2072</v>
      </c>
      <c r="D69" s="55">
        <f>IF(F68+SUM(E$17:E68)=D$10,F68,D$10-SUM(E$17:E68))</f>
        <v>0</v>
      </c>
      <c r="E69" s="354">
        <f t="shared" si="17"/>
        <v>0</v>
      </c>
      <c r="F69" s="55">
        <f t="shared" si="18"/>
        <v>0</v>
      </c>
      <c r="G69" s="355">
        <f t="shared" si="19"/>
        <v>0</v>
      </c>
      <c r="H69" s="337">
        <f t="shared" si="20"/>
        <v>0</v>
      </c>
      <c r="I69" s="52">
        <f t="shared" si="5"/>
        <v>0</v>
      </c>
      <c r="J69" s="52"/>
      <c r="K69" s="115"/>
      <c r="L69" s="54">
        <f t="shared" si="2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2073</v>
      </c>
      <c r="D70" s="55">
        <f>IF(F69+SUM(E$17:E69)=D$10,F69,D$10-SUM(E$17:E69))</f>
        <v>0</v>
      </c>
      <c r="E70" s="354">
        <f t="shared" si="17"/>
        <v>0</v>
      </c>
      <c r="F70" s="55">
        <f t="shared" si="18"/>
        <v>0</v>
      </c>
      <c r="G70" s="355">
        <f t="shared" si="19"/>
        <v>0</v>
      </c>
      <c r="H70" s="337">
        <f t="shared" si="20"/>
        <v>0</v>
      </c>
      <c r="I70" s="52">
        <f t="shared" si="5"/>
        <v>0</v>
      </c>
      <c r="J70" s="52"/>
      <c r="K70" s="115"/>
      <c r="L70" s="54">
        <f t="shared" si="2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2074</v>
      </c>
      <c r="D71" s="55">
        <f>IF(F70+SUM(E$17:E70)=D$10,F70,D$10-SUM(E$17:E70))</f>
        <v>0</v>
      </c>
      <c r="E71" s="354">
        <f t="shared" si="17"/>
        <v>0</v>
      </c>
      <c r="F71" s="55">
        <f t="shared" si="18"/>
        <v>0</v>
      </c>
      <c r="G71" s="355">
        <f t="shared" si="19"/>
        <v>0</v>
      </c>
      <c r="H71" s="337">
        <f t="shared" si="20"/>
        <v>0</v>
      </c>
      <c r="I71" s="52">
        <f t="shared" si="5"/>
        <v>0</v>
      </c>
      <c r="J71" s="52"/>
      <c r="K71" s="115"/>
      <c r="L71" s="54">
        <f t="shared" si="2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2075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2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7"/>
      <c r="E73" s="267">
        <f>SUM(E17:E72)</f>
        <v>2394352.8199999994</v>
      </c>
      <c r="F73" s="267"/>
      <c r="G73" s="267">
        <f>SUM(G17:G72)</f>
        <v>7747438.4680130631</v>
      </c>
      <c r="H73" s="267">
        <f>SUM(H17:H72)</f>
        <v>7747438.4680130631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28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309077.29528227838</v>
      </c>
      <c r="N87" s="364">
        <f>IF(J92&lt;D11,0,VLOOKUP(J92,C17:O72,11))</f>
        <v>309077.29528227838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355360.96797922737</v>
      </c>
      <c r="N88" s="367">
        <f>IF(J92&lt;D11,0,VLOOKUP(J92,C99:P154,7))</f>
        <v>355360.96797922737</v>
      </c>
      <c r="O88" s="69">
        <f>+N88-M88</f>
        <v>0</v>
      </c>
      <c r="P88" s="1"/>
    </row>
    <row r="89" spans="1:16" ht="13.5" thickBot="1">
      <c r="C89" s="26" t="s">
        <v>92</v>
      </c>
      <c r="D89" s="64" t="str">
        <f>D7</f>
        <v>Keystone Dam - Wekiwa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46283.672696948983</v>
      </c>
      <c r="N89" s="369">
        <f>+N88-N87</f>
        <v>46283.672696948983</v>
      </c>
      <c r="O89" s="370">
        <f>+O88-O87</f>
        <v>0</v>
      </c>
      <c r="P89" s="1"/>
    </row>
    <row r="90" spans="1:16" ht="13.5" thickBot="1">
      <c r="C90" s="30"/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TP2015118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2537089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v>2020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68570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2020</v>
      </c>
      <c r="D99" s="411">
        <v>0</v>
      </c>
      <c r="E99" s="433">
        <v>0</v>
      </c>
      <c r="F99" s="411">
        <v>2529408</v>
      </c>
      <c r="G99" s="433">
        <v>1264704</v>
      </c>
      <c r="H99" s="414">
        <v>145816.89418304947</v>
      </c>
      <c r="I99" s="432">
        <v>145816.89418304947</v>
      </c>
      <c r="J99" s="54">
        <f>+I99-H99</f>
        <v>0</v>
      </c>
      <c r="K99" s="54"/>
      <c r="L99" s="53">
        <f>+H99</f>
        <v>145816.89418304947</v>
      </c>
      <c r="M99" s="53">
        <f t="shared" ref="M99" si="22">IF(L99&lt;&gt;0,+H99-L99,0)</f>
        <v>0</v>
      </c>
      <c r="N99" s="53">
        <f>+I99</f>
        <v>145816.89418304947</v>
      </c>
      <c r="O99" s="53">
        <f t="shared" ref="O99:O130" si="23">IF(N99&lt;&gt;0,+I99-N99,0)</f>
        <v>0</v>
      </c>
      <c r="P99" s="53">
        <f t="shared" ref="P99:P130" si="24">+O99-M99</f>
        <v>0</v>
      </c>
    </row>
    <row r="100" spans="1:16" ht="12.5">
      <c r="B100" s="7" t="str">
        <f>IF(D100=F99,"","IU")</f>
        <v>IU</v>
      </c>
      <c r="C100" s="50">
        <f>IF(D93="","-",+C99+1)</f>
        <v>2021</v>
      </c>
      <c r="D100" s="411">
        <v>2537089</v>
      </c>
      <c r="E100" s="412">
        <v>61880</v>
      </c>
      <c r="F100" s="411">
        <v>2475209</v>
      </c>
      <c r="G100" s="412">
        <v>2506149</v>
      </c>
      <c r="H100" s="414">
        <v>347061.69446301</v>
      </c>
      <c r="I100" s="432">
        <v>347061.69446301</v>
      </c>
      <c r="J100" s="54">
        <f t="shared" ref="J100:J130" si="25">+I100-H100</f>
        <v>0</v>
      </c>
      <c r="K100" s="401"/>
      <c r="L100" s="54">
        <f>+H100</f>
        <v>347061.69446301</v>
      </c>
      <c r="M100" s="54">
        <f t="shared" ref="M100" si="26">IF(L100&lt;&gt;0,+H100-L100,0)</f>
        <v>0</v>
      </c>
      <c r="N100" s="54">
        <f>+I100</f>
        <v>347061.69446301</v>
      </c>
      <c r="O100" s="54">
        <f t="shared" ref="O100" si="27">IF(N100&lt;&gt;0,+I100-N100,0)</f>
        <v>0</v>
      </c>
      <c r="P100" s="54">
        <f t="shared" ref="P100" si="28">+O100-M100</f>
        <v>0</v>
      </c>
    </row>
    <row r="101" spans="1:16" ht="12.5">
      <c r="B101" s="7" t="str">
        <f t="shared" ref="B101:B154" si="29">IF(D101=F100,"","IU")</f>
        <v>IU</v>
      </c>
      <c r="C101" s="450">
        <f>IF(D93="","-",+C100+1)</f>
        <v>2022</v>
      </c>
      <c r="D101" s="411">
        <v>2332914</v>
      </c>
      <c r="E101" s="412">
        <v>61405</v>
      </c>
      <c r="F101" s="411">
        <v>2271509</v>
      </c>
      <c r="G101" s="412">
        <v>2302211.5</v>
      </c>
      <c r="H101" s="414">
        <v>315068.77055082901</v>
      </c>
      <c r="I101" s="432">
        <v>315068.77055082901</v>
      </c>
      <c r="J101" s="54">
        <f t="shared" si="25"/>
        <v>0</v>
      </c>
      <c r="K101" s="401"/>
      <c r="L101" s="54">
        <f t="shared" ref="L101:L102" si="30">+H101</f>
        <v>315068.77055082901</v>
      </c>
      <c r="M101" s="54">
        <f t="shared" ref="M101:M102" si="31">IF(L101&lt;&gt;0,+H101-L101,0)</f>
        <v>0</v>
      </c>
      <c r="N101" s="54">
        <f t="shared" ref="N101:N102" si="32">+I101</f>
        <v>315068.77055082901</v>
      </c>
      <c r="O101" s="54">
        <f t="shared" ref="O101:O102" si="33">IF(N101&lt;&gt;0,+I101-N101,0)</f>
        <v>0</v>
      </c>
      <c r="P101" s="54">
        <f t="shared" si="24"/>
        <v>0</v>
      </c>
    </row>
    <row r="102" spans="1:16" ht="12.5">
      <c r="B102" s="7" t="str">
        <f t="shared" si="29"/>
        <v>IU</v>
      </c>
      <c r="C102" s="50">
        <f>IF(D93="","-",+C101+1)</f>
        <v>2023</v>
      </c>
      <c r="D102" s="411">
        <v>2413804</v>
      </c>
      <c r="E102" s="412">
        <v>66766</v>
      </c>
      <c r="F102" s="411">
        <v>2347038</v>
      </c>
      <c r="G102" s="412">
        <v>2380421</v>
      </c>
      <c r="H102" s="414">
        <v>338674.47586132563</v>
      </c>
      <c r="I102" s="432">
        <v>338674.47586132563</v>
      </c>
      <c r="J102" s="54">
        <f t="shared" si="25"/>
        <v>0</v>
      </c>
      <c r="K102" s="401"/>
      <c r="L102" s="54">
        <f t="shared" si="30"/>
        <v>338674.47586132563</v>
      </c>
      <c r="M102" s="54">
        <f t="shared" si="31"/>
        <v>0</v>
      </c>
      <c r="N102" s="54">
        <f t="shared" si="32"/>
        <v>338674.47586132563</v>
      </c>
      <c r="O102" s="54">
        <f t="shared" si="33"/>
        <v>0</v>
      </c>
      <c r="P102" s="54">
        <f t="shared" si="24"/>
        <v>0</v>
      </c>
    </row>
    <row r="103" spans="1:16" ht="12.5">
      <c r="B103" s="7" t="str">
        <f t="shared" si="29"/>
        <v>IU</v>
      </c>
      <c r="C103" s="50">
        <f>IF(D93="","-",+C102+1)</f>
        <v>2024</v>
      </c>
      <c r="D103" s="411">
        <v>2208058.8200000003</v>
      </c>
      <c r="E103" s="412">
        <v>63009</v>
      </c>
      <c r="F103" s="411">
        <v>2145049.8200000003</v>
      </c>
      <c r="G103" s="412">
        <v>2176554.3200000003</v>
      </c>
      <c r="H103" s="414">
        <v>355360.96797922737</v>
      </c>
      <c r="I103" s="432">
        <v>355360.96797922737</v>
      </c>
      <c r="J103" s="54">
        <f t="shared" si="25"/>
        <v>0</v>
      </c>
      <c r="K103" s="401"/>
      <c r="L103" s="54">
        <f t="shared" ref="L103" si="34">+H103</f>
        <v>355360.96797922737</v>
      </c>
      <c r="M103" s="54">
        <f t="shared" ref="M103" si="35">IF(L103&lt;&gt;0,+H103-L103,0)</f>
        <v>0</v>
      </c>
      <c r="N103" s="54">
        <f t="shared" ref="N103" si="36">+I103</f>
        <v>355360.96797922737</v>
      </c>
      <c r="O103" s="54">
        <f t="shared" ref="O103" si="37">IF(N103&lt;&gt;0,+I103-N103,0)</f>
        <v>0</v>
      </c>
      <c r="P103" s="54">
        <f t="shared" ref="P103" si="38">+O103-M103</f>
        <v>0</v>
      </c>
    </row>
    <row r="104" spans="1:16" ht="12.5">
      <c r="B104" s="7" t="str">
        <f t="shared" si="29"/>
        <v>IU</v>
      </c>
      <c r="C104" s="50">
        <f>IF(D93="","-",+C103+1)</f>
        <v>2025</v>
      </c>
      <c r="D104" s="12">
        <f>IF(F103+SUM(E$99:E103)=D$92,F103,D$92-SUM(E$99:E103))</f>
        <v>2284029</v>
      </c>
      <c r="E104" s="354">
        <f t="shared" ref="E104:E154" si="39">IF(+J$96&lt;F103,J$96,D104)</f>
        <v>68570</v>
      </c>
      <c r="F104" s="55">
        <f t="shared" ref="F104:F154" si="40">+D104-E104</f>
        <v>2215459</v>
      </c>
      <c r="G104" s="55">
        <f t="shared" ref="G104:G154" si="41">+(F104+D104)/2</f>
        <v>2249744</v>
      </c>
      <c r="H104" s="436">
        <f t="shared" ref="H104:H154" si="42">+J$94*G104+E104</f>
        <v>370752.711364382</v>
      </c>
      <c r="I104" s="437">
        <f t="shared" ref="I104:I154" si="43">+J$95*G104+E104</f>
        <v>370752.711364382</v>
      </c>
      <c r="J104" s="54">
        <f t="shared" si="25"/>
        <v>0</v>
      </c>
      <c r="K104" s="54"/>
      <c r="L104" s="115"/>
      <c r="M104" s="54">
        <f t="shared" ref="M104:M130" si="44">IF(L104&lt;&gt;0,+H104-L104,0)</f>
        <v>0</v>
      </c>
      <c r="N104" s="115"/>
      <c r="O104" s="54">
        <f t="shared" si="23"/>
        <v>0</v>
      </c>
      <c r="P104" s="54">
        <f t="shared" si="24"/>
        <v>0</v>
      </c>
    </row>
    <row r="105" spans="1:16" ht="12.5">
      <c r="B105" s="7" t="str">
        <f t="shared" si="29"/>
        <v/>
      </c>
      <c r="C105" s="50">
        <f>IF(D93="","-",+C104+1)</f>
        <v>2026</v>
      </c>
      <c r="D105" s="12">
        <f>IF(F104+SUM(E$99:E104)=D$92,F104,D$92-SUM(E$99:E104))</f>
        <v>2215459</v>
      </c>
      <c r="E105" s="354">
        <f t="shared" si="39"/>
        <v>68570</v>
      </c>
      <c r="F105" s="55">
        <f t="shared" si="40"/>
        <v>2146889</v>
      </c>
      <c r="G105" s="55">
        <f t="shared" si="41"/>
        <v>2181174</v>
      </c>
      <c r="H105" s="436">
        <f t="shared" si="42"/>
        <v>361542.47743631923</v>
      </c>
      <c r="I105" s="437">
        <f t="shared" si="43"/>
        <v>361542.47743631923</v>
      </c>
      <c r="J105" s="54">
        <f t="shared" si="25"/>
        <v>0</v>
      </c>
      <c r="K105" s="54"/>
      <c r="L105" s="115"/>
      <c r="M105" s="54">
        <f t="shared" si="44"/>
        <v>0</v>
      </c>
      <c r="N105" s="115"/>
      <c r="O105" s="54">
        <f t="shared" si="23"/>
        <v>0</v>
      </c>
      <c r="P105" s="54">
        <f t="shared" si="24"/>
        <v>0</v>
      </c>
    </row>
    <row r="106" spans="1:16" ht="12.5">
      <c r="B106" s="7" t="str">
        <f t="shared" si="29"/>
        <v/>
      </c>
      <c r="C106" s="50">
        <f>IF(D93="","-",+C105+1)</f>
        <v>2027</v>
      </c>
      <c r="D106" s="12">
        <f>IF(F105+SUM(E$99:E105)=D$92,F105,D$92-SUM(E$99:E105))</f>
        <v>2146889</v>
      </c>
      <c r="E106" s="354">
        <f t="shared" si="39"/>
        <v>68570</v>
      </c>
      <c r="F106" s="55">
        <f t="shared" si="40"/>
        <v>2078319</v>
      </c>
      <c r="G106" s="55">
        <f t="shared" si="41"/>
        <v>2112604</v>
      </c>
      <c r="H106" s="436">
        <f t="shared" si="42"/>
        <v>352332.24350825645</v>
      </c>
      <c r="I106" s="437">
        <f t="shared" si="43"/>
        <v>352332.24350825645</v>
      </c>
      <c r="J106" s="54">
        <f t="shared" si="25"/>
        <v>0</v>
      </c>
      <c r="K106" s="54"/>
      <c r="L106" s="115"/>
      <c r="M106" s="54">
        <f t="shared" si="44"/>
        <v>0</v>
      </c>
      <c r="N106" s="115"/>
      <c r="O106" s="54">
        <f t="shared" si="23"/>
        <v>0</v>
      </c>
      <c r="P106" s="54">
        <f t="shared" si="24"/>
        <v>0</v>
      </c>
    </row>
    <row r="107" spans="1:16" ht="12.5">
      <c r="B107" s="7" t="str">
        <f t="shared" si="29"/>
        <v/>
      </c>
      <c r="C107" s="50">
        <f>IF(D93="","-",+C106+1)</f>
        <v>2028</v>
      </c>
      <c r="D107" s="12">
        <f>IF(F106+SUM(E$99:E106)=D$92,F106,D$92-SUM(E$99:E106))</f>
        <v>2078319</v>
      </c>
      <c r="E107" s="354">
        <f t="shared" si="39"/>
        <v>68570</v>
      </c>
      <c r="F107" s="55">
        <f t="shared" si="40"/>
        <v>2009749</v>
      </c>
      <c r="G107" s="55">
        <f t="shared" si="41"/>
        <v>2044034</v>
      </c>
      <c r="H107" s="436">
        <f t="shared" si="42"/>
        <v>343122.00958019367</v>
      </c>
      <c r="I107" s="437">
        <f t="shared" si="43"/>
        <v>343122.00958019367</v>
      </c>
      <c r="J107" s="54">
        <f t="shared" si="25"/>
        <v>0</v>
      </c>
      <c r="K107" s="54"/>
      <c r="L107" s="115"/>
      <c r="M107" s="54">
        <f t="shared" si="44"/>
        <v>0</v>
      </c>
      <c r="N107" s="115"/>
      <c r="O107" s="54">
        <f t="shared" si="23"/>
        <v>0</v>
      </c>
      <c r="P107" s="54">
        <f t="shared" si="24"/>
        <v>0</v>
      </c>
    </row>
    <row r="108" spans="1:16" ht="12.5">
      <c r="B108" s="7" t="str">
        <f t="shared" si="29"/>
        <v/>
      </c>
      <c r="C108" s="50">
        <f>IF(D93="","-",+C107+1)</f>
        <v>2029</v>
      </c>
      <c r="D108" s="12">
        <f>IF(F107+SUM(E$99:E107)=D$92,F107,D$92-SUM(E$99:E107))</f>
        <v>2009749</v>
      </c>
      <c r="E108" s="354">
        <f t="shared" si="39"/>
        <v>68570</v>
      </c>
      <c r="F108" s="55">
        <f t="shared" si="40"/>
        <v>1941179</v>
      </c>
      <c r="G108" s="55">
        <f t="shared" si="41"/>
        <v>1975464</v>
      </c>
      <c r="H108" s="436">
        <f t="shared" si="42"/>
        <v>333911.77565213089</v>
      </c>
      <c r="I108" s="437">
        <f t="shared" si="43"/>
        <v>333911.77565213089</v>
      </c>
      <c r="J108" s="54">
        <f t="shared" si="25"/>
        <v>0</v>
      </c>
      <c r="K108" s="54"/>
      <c r="L108" s="115"/>
      <c r="M108" s="54">
        <f t="shared" si="44"/>
        <v>0</v>
      </c>
      <c r="N108" s="115"/>
      <c r="O108" s="54">
        <f t="shared" si="23"/>
        <v>0</v>
      </c>
      <c r="P108" s="54">
        <f t="shared" si="24"/>
        <v>0</v>
      </c>
    </row>
    <row r="109" spans="1:16" ht="12.5">
      <c r="B109" s="7" t="str">
        <f t="shared" si="29"/>
        <v/>
      </c>
      <c r="C109" s="50">
        <f>IF(D93="","-",+C108+1)</f>
        <v>2030</v>
      </c>
      <c r="D109" s="12">
        <f>IF(F108+SUM(E$99:E108)=D$92,F108,D$92-SUM(E$99:E108))</f>
        <v>1941179</v>
      </c>
      <c r="E109" s="354">
        <f t="shared" si="39"/>
        <v>68570</v>
      </c>
      <c r="F109" s="55">
        <f t="shared" si="40"/>
        <v>1872609</v>
      </c>
      <c r="G109" s="55">
        <f t="shared" si="41"/>
        <v>1906894</v>
      </c>
      <c r="H109" s="436">
        <f t="shared" si="42"/>
        <v>324701.54172406811</v>
      </c>
      <c r="I109" s="437">
        <f t="shared" si="43"/>
        <v>324701.54172406811</v>
      </c>
      <c r="J109" s="54">
        <f t="shared" si="25"/>
        <v>0</v>
      </c>
      <c r="K109" s="54"/>
      <c r="L109" s="115"/>
      <c r="M109" s="54">
        <f t="shared" si="44"/>
        <v>0</v>
      </c>
      <c r="N109" s="115"/>
      <c r="O109" s="54">
        <f t="shared" si="23"/>
        <v>0</v>
      </c>
      <c r="P109" s="54">
        <f t="shared" si="24"/>
        <v>0</v>
      </c>
    </row>
    <row r="110" spans="1:16" ht="12.5">
      <c r="B110" s="7" t="str">
        <f t="shared" si="29"/>
        <v/>
      </c>
      <c r="C110" s="50">
        <f>IF(D93="","-",+C109+1)</f>
        <v>2031</v>
      </c>
      <c r="D110" s="12">
        <f>IF(F109+SUM(E$99:E109)=D$92,F109,D$92-SUM(E$99:E109))</f>
        <v>1872609</v>
      </c>
      <c r="E110" s="354">
        <f t="shared" si="39"/>
        <v>68570</v>
      </c>
      <c r="F110" s="55">
        <f t="shared" si="40"/>
        <v>1804039</v>
      </c>
      <c r="G110" s="55">
        <f t="shared" si="41"/>
        <v>1838324</v>
      </c>
      <c r="H110" s="436">
        <f t="shared" si="42"/>
        <v>315491.30779600533</v>
      </c>
      <c r="I110" s="437">
        <f t="shared" si="43"/>
        <v>315491.30779600533</v>
      </c>
      <c r="J110" s="54">
        <f t="shared" si="25"/>
        <v>0</v>
      </c>
      <c r="K110" s="54"/>
      <c r="L110" s="115"/>
      <c r="M110" s="54">
        <f t="shared" si="44"/>
        <v>0</v>
      </c>
      <c r="N110" s="115"/>
      <c r="O110" s="54">
        <f t="shared" si="23"/>
        <v>0</v>
      </c>
      <c r="P110" s="54">
        <f t="shared" si="24"/>
        <v>0</v>
      </c>
    </row>
    <row r="111" spans="1:16" ht="12.5">
      <c r="B111" s="7" t="str">
        <f t="shared" si="29"/>
        <v/>
      </c>
      <c r="C111" s="50">
        <f>IF(D93="","-",+C110+1)</f>
        <v>2032</v>
      </c>
      <c r="D111" s="12">
        <f>IF(F110+SUM(E$99:E110)=D$92,F110,D$92-SUM(E$99:E110))</f>
        <v>1804039</v>
      </c>
      <c r="E111" s="354">
        <f t="shared" si="39"/>
        <v>68570</v>
      </c>
      <c r="F111" s="55">
        <f t="shared" si="40"/>
        <v>1735469</v>
      </c>
      <c r="G111" s="55">
        <f t="shared" si="41"/>
        <v>1769754</v>
      </c>
      <c r="H111" s="436">
        <f t="shared" si="42"/>
        <v>306281.07386794256</v>
      </c>
      <c r="I111" s="437">
        <f t="shared" si="43"/>
        <v>306281.07386794256</v>
      </c>
      <c r="J111" s="54">
        <f t="shared" si="25"/>
        <v>0</v>
      </c>
      <c r="K111" s="54"/>
      <c r="L111" s="115"/>
      <c r="M111" s="54">
        <f t="shared" si="44"/>
        <v>0</v>
      </c>
      <c r="N111" s="115"/>
      <c r="O111" s="54">
        <f t="shared" si="23"/>
        <v>0</v>
      </c>
      <c r="P111" s="54">
        <f t="shared" si="24"/>
        <v>0</v>
      </c>
    </row>
    <row r="112" spans="1:16" ht="12.5">
      <c r="B112" s="7" t="str">
        <f t="shared" si="29"/>
        <v/>
      </c>
      <c r="C112" s="50">
        <f>IF(D93="","-",+C111+1)</f>
        <v>2033</v>
      </c>
      <c r="D112" s="12">
        <f>IF(F111+SUM(E$99:E111)=D$92,F111,D$92-SUM(E$99:E111))</f>
        <v>1735469</v>
      </c>
      <c r="E112" s="354">
        <f t="shared" si="39"/>
        <v>68570</v>
      </c>
      <c r="F112" s="55">
        <f t="shared" si="40"/>
        <v>1666899</v>
      </c>
      <c r="G112" s="55">
        <f t="shared" si="41"/>
        <v>1701184</v>
      </c>
      <c r="H112" s="436">
        <f t="shared" si="42"/>
        <v>297070.83993987972</v>
      </c>
      <c r="I112" s="437">
        <f t="shared" si="43"/>
        <v>297070.83993987972</v>
      </c>
      <c r="J112" s="54">
        <f t="shared" si="25"/>
        <v>0</v>
      </c>
      <c r="K112" s="54"/>
      <c r="L112" s="115"/>
      <c r="M112" s="54">
        <f t="shared" si="44"/>
        <v>0</v>
      </c>
      <c r="N112" s="115"/>
      <c r="O112" s="54">
        <f t="shared" si="23"/>
        <v>0</v>
      </c>
      <c r="P112" s="54">
        <f t="shared" si="24"/>
        <v>0</v>
      </c>
    </row>
    <row r="113" spans="2:16" ht="12.5">
      <c r="B113" s="7" t="str">
        <f t="shared" si="29"/>
        <v/>
      </c>
      <c r="C113" s="50">
        <f>IF(D93="","-",+C112+1)</f>
        <v>2034</v>
      </c>
      <c r="D113" s="12">
        <f>IF(F112+SUM(E$99:E112)=D$92,F112,D$92-SUM(E$99:E112))</f>
        <v>1666899</v>
      </c>
      <c r="E113" s="354">
        <f t="shared" si="39"/>
        <v>68570</v>
      </c>
      <c r="F113" s="55">
        <f t="shared" si="40"/>
        <v>1598329</v>
      </c>
      <c r="G113" s="55">
        <f t="shared" si="41"/>
        <v>1632614</v>
      </c>
      <c r="H113" s="436">
        <f t="shared" si="42"/>
        <v>287860.606011817</v>
      </c>
      <c r="I113" s="437">
        <f t="shared" si="43"/>
        <v>287860.606011817</v>
      </c>
      <c r="J113" s="54">
        <f t="shared" si="25"/>
        <v>0</v>
      </c>
      <c r="K113" s="54"/>
      <c r="L113" s="115"/>
      <c r="M113" s="54">
        <f t="shared" si="44"/>
        <v>0</v>
      </c>
      <c r="N113" s="115"/>
      <c r="O113" s="54">
        <f t="shared" si="23"/>
        <v>0</v>
      </c>
      <c r="P113" s="54">
        <f t="shared" si="24"/>
        <v>0</v>
      </c>
    </row>
    <row r="114" spans="2:16" ht="12.5">
      <c r="B114" s="7" t="str">
        <f t="shared" si="29"/>
        <v/>
      </c>
      <c r="C114" s="50">
        <f>IF(D93="","-",+C113+1)</f>
        <v>2035</v>
      </c>
      <c r="D114" s="12">
        <f>IF(F113+SUM(E$99:E113)=D$92,F113,D$92-SUM(E$99:E113))</f>
        <v>1598329</v>
      </c>
      <c r="E114" s="354">
        <f t="shared" si="39"/>
        <v>68570</v>
      </c>
      <c r="F114" s="55">
        <f t="shared" si="40"/>
        <v>1529759</v>
      </c>
      <c r="G114" s="55">
        <f t="shared" si="41"/>
        <v>1564044</v>
      </c>
      <c r="H114" s="436">
        <f t="shared" si="42"/>
        <v>278650.37208375416</v>
      </c>
      <c r="I114" s="437">
        <f t="shared" si="43"/>
        <v>278650.37208375416</v>
      </c>
      <c r="J114" s="54">
        <f t="shared" si="25"/>
        <v>0</v>
      </c>
      <c r="K114" s="54"/>
      <c r="L114" s="115"/>
      <c r="M114" s="54">
        <f t="shared" si="44"/>
        <v>0</v>
      </c>
      <c r="N114" s="115"/>
      <c r="O114" s="54">
        <f t="shared" si="23"/>
        <v>0</v>
      </c>
      <c r="P114" s="54">
        <f t="shared" si="24"/>
        <v>0</v>
      </c>
    </row>
    <row r="115" spans="2:16" ht="12.5">
      <c r="B115" s="7" t="str">
        <f t="shared" si="29"/>
        <v/>
      </c>
      <c r="C115" s="50">
        <f>IF(D93="","-",+C114+1)</f>
        <v>2036</v>
      </c>
      <c r="D115" s="12">
        <f>IF(F114+SUM(E$99:E114)=D$92,F114,D$92-SUM(E$99:E114))</f>
        <v>1529759</v>
      </c>
      <c r="E115" s="354">
        <f t="shared" si="39"/>
        <v>68570</v>
      </c>
      <c r="F115" s="55">
        <f t="shared" si="40"/>
        <v>1461189</v>
      </c>
      <c r="G115" s="55">
        <f t="shared" si="41"/>
        <v>1495474</v>
      </c>
      <c r="H115" s="436">
        <f t="shared" si="42"/>
        <v>269440.13815569144</v>
      </c>
      <c r="I115" s="437">
        <f t="shared" si="43"/>
        <v>269440.13815569144</v>
      </c>
      <c r="J115" s="54">
        <f t="shared" si="25"/>
        <v>0</v>
      </c>
      <c r="K115" s="54"/>
      <c r="L115" s="115"/>
      <c r="M115" s="54">
        <f t="shared" si="44"/>
        <v>0</v>
      </c>
      <c r="N115" s="115"/>
      <c r="O115" s="54">
        <f t="shared" si="23"/>
        <v>0</v>
      </c>
      <c r="P115" s="54">
        <f t="shared" si="24"/>
        <v>0</v>
      </c>
    </row>
    <row r="116" spans="2:16" ht="12.5">
      <c r="B116" s="7" t="str">
        <f t="shared" si="29"/>
        <v/>
      </c>
      <c r="C116" s="50">
        <f>IF(D93="","-",+C115+1)</f>
        <v>2037</v>
      </c>
      <c r="D116" s="12">
        <f>IF(F115+SUM(E$99:E115)=D$92,F115,D$92-SUM(E$99:E115))</f>
        <v>1461189</v>
      </c>
      <c r="E116" s="354">
        <f t="shared" si="39"/>
        <v>68570</v>
      </c>
      <c r="F116" s="55">
        <f t="shared" si="40"/>
        <v>1392619</v>
      </c>
      <c r="G116" s="55">
        <f t="shared" si="41"/>
        <v>1426904</v>
      </c>
      <c r="H116" s="436">
        <f t="shared" si="42"/>
        <v>260229.90422762863</v>
      </c>
      <c r="I116" s="437">
        <f t="shared" si="43"/>
        <v>260229.90422762863</v>
      </c>
      <c r="J116" s="54">
        <f t="shared" si="25"/>
        <v>0</v>
      </c>
      <c r="K116" s="54"/>
      <c r="L116" s="115"/>
      <c r="M116" s="54">
        <f t="shared" si="44"/>
        <v>0</v>
      </c>
      <c r="N116" s="115"/>
      <c r="O116" s="54">
        <f t="shared" si="23"/>
        <v>0</v>
      </c>
      <c r="P116" s="54">
        <f t="shared" si="24"/>
        <v>0</v>
      </c>
    </row>
    <row r="117" spans="2:16" ht="12.5">
      <c r="B117" s="7" t="str">
        <f t="shared" si="29"/>
        <v/>
      </c>
      <c r="C117" s="50">
        <f>IF(D93="","-",+C116+1)</f>
        <v>2038</v>
      </c>
      <c r="D117" s="12">
        <f>IF(F116+SUM(E$99:E116)=D$92,F116,D$92-SUM(E$99:E116))</f>
        <v>1392619</v>
      </c>
      <c r="E117" s="354">
        <f t="shared" si="39"/>
        <v>68570</v>
      </c>
      <c r="F117" s="55">
        <f t="shared" si="40"/>
        <v>1324049</v>
      </c>
      <c r="G117" s="55">
        <f t="shared" si="41"/>
        <v>1358334</v>
      </c>
      <c r="H117" s="436">
        <f t="shared" si="42"/>
        <v>251019.67029956586</v>
      </c>
      <c r="I117" s="437">
        <f t="shared" si="43"/>
        <v>251019.67029956586</v>
      </c>
      <c r="J117" s="54">
        <f t="shared" si="25"/>
        <v>0</v>
      </c>
      <c r="K117" s="54"/>
      <c r="L117" s="115"/>
      <c r="M117" s="54">
        <f t="shared" si="44"/>
        <v>0</v>
      </c>
      <c r="N117" s="115"/>
      <c r="O117" s="54">
        <f t="shared" si="23"/>
        <v>0</v>
      </c>
      <c r="P117" s="54">
        <f t="shared" si="24"/>
        <v>0</v>
      </c>
    </row>
    <row r="118" spans="2:16" ht="12.5">
      <c r="B118" s="7" t="str">
        <f t="shared" si="29"/>
        <v/>
      </c>
      <c r="C118" s="50">
        <f>IF(D93="","-",+C117+1)</f>
        <v>2039</v>
      </c>
      <c r="D118" s="12">
        <f>IF(F117+SUM(E$99:E117)=D$92,F117,D$92-SUM(E$99:E117))</f>
        <v>1324049</v>
      </c>
      <c r="E118" s="354">
        <f t="shared" si="39"/>
        <v>68570</v>
      </c>
      <c r="F118" s="55">
        <f t="shared" si="40"/>
        <v>1255479</v>
      </c>
      <c r="G118" s="55">
        <f t="shared" si="41"/>
        <v>1289764</v>
      </c>
      <c r="H118" s="436">
        <f t="shared" si="42"/>
        <v>241809.43637150308</v>
      </c>
      <c r="I118" s="437">
        <f t="shared" si="43"/>
        <v>241809.43637150308</v>
      </c>
      <c r="J118" s="54">
        <f t="shared" si="25"/>
        <v>0</v>
      </c>
      <c r="K118" s="54"/>
      <c r="L118" s="115"/>
      <c r="M118" s="54">
        <f t="shared" si="44"/>
        <v>0</v>
      </c>
      <c r="N118" s="115"/>
      <c r="O118" s="54">
        <f t="shared" si="23"/>
        <v>0</v>
      </c>
      <c r="P118" s="54">
        <f t="shared" si="24"/>
        <v>0</v>
      </c>
    </row>
    <row r="119" spans="2:16" ht="12.5">
      <c r="B119" s="7" t="str">
        <f t="shared" si="29"/>
        <v/>
      </c>
      <c r="C119" s="50">
        <f>IF(D93="","-",+C118+1)</f>
        <v>2040</v>
      </c>
      <c r="D119" s="12">
        <f>IF(F118+SUM(E$99:E118)=D$92,F118,D$92-SUM(E$99:E118))</f>
        <v>1255479</v>
      </c>
      <c r="E119" s="354">
        <f t="shared" si="39"/>
        <v>68570</v>
      </c>
      <c r="F119" s="55">
        <f t="shared" si="40"/>
        <v>1186909</v>
      </c>
      <c r="G119" s="55">
        <f t="shared" si="41"/>
        <v>1221194</v>
      </c>
      <c r="H119" s="436">
        <f t="shared" si="42"/>
        <v>232599.2024434403</v>
      </c>
      <c r="I119" s="437">
        <f t="shared" si="43"/>
        <v>232599.2024434403</v>
      </c>
      <c r="J119" s="54">
        <f t="shared" si="25"/>
        <v>0</v>
      </c>
      <c r="K119" s="54"/>
      <c r="L119" s="115"/>
      <c r="M119" s="54">
        <f t="shared" si="44"/>
        <v>0</v>
      </c>
      <c r="N119" s="115"/>
      <c r="O119" s="54">
        <f t="shared" si="23"/>
        <v>0</v>
      </c>
      <c r="P119" s="54">
        <f t="shared" si="24"/>
        <v>0</v>
      </c>
    </row>
    <row r="120" spans="2:16" ht="12.5">
      <c r="B120" s="7" t="str">
        <f t="shared" si="29"/>
        <v/>
      </c>
      <c r="C120" s="50">
        <f>IF(D93="","-",+C119+1)</f>
        <v>2041</v>
      </c>
      <c r="D120" s="12">
        <f>IF(F119+SUM(E$99:E119)=D$92,F119,D$92-SUM(E$99:E119))</f>
        <v>1186909</v>
      </c>
      <c r="E120" s="354">
        <f t="shared" si="39"/>
        <v>68570</v>
      </c>
      <c r="F120" s="55">
        <f t="shared" si="40"/>
        <v>1118339</v>
      </c>
      <c r="G120" s="55">
        <f t="shared" si="41"/>
        <v>1152624</v>
      </c>
      <c r="H120" s="436">
        <f t="shared" si="42"/>
        <v>223388.96851537749</v>
      </c>
      <c r="I120" s="437">
        <f t="shared" si="43"/>
        <v>223388.96851537749</v>
      </c>
      <c r="J120" s="54">
        <f t="shared" si="25"/>
        <v>0</v>
      </c>
      <c r="K120" s="54"/>
      <c r="L120" s="115"/>
      <c r="M120" s="54">
        <f t="shared" si="44"/>
        <v>0</v>
      </c>
      <c r="N120" s="115"/>
      <c r="O120" s="54">
        <f t="shared" si="23"/>
        <v>0</v>
      </c>
      <c r="P120" s="54">
        <f t="shared" si="24"/>
        <v>0</v>
      </c>
    </row>
    <row r="121" spans="2:16" ht="12.5">
      <c r="B121" s="7" t="str">
        <f t="shared" si="29"/>
        <v/>
      </c>
      <c r="C121" s="50">
        <f>IF(D93="","-",+C120+1)</f>
        <v>2042</v>
      </c>
      <c r="D121" s="12">
        <f>IF(F120+SUM(E$99:E120)=D$92,F120,D$92-SUM(E$99:E120))</f>
        <v>1118339</v>
      </c>
      <c r="E121" s="354">
        <f t="shared" si="39"/>
        <v>68570</v>
      </c>
      <c r="F121" s="55">
        <f t="shared" si="40"/>
        <v>1049769</v>
      </c>
      <c r="G121" s="55">
        <f t="shared" si="41"/>
        <v>1084054</v>
      </c>
      <c r="H121" s="436">
        <f t="shared" si="42"/>
        <v>214178.73458731471</v>
      </c>
      <c r="I121" s="437">
        <f t="shared" si="43"/>
        <v>214178.73458731471</v>
      </c>
      <c r="J121" s="54">
        <f t="shared" si="25"/>
        <v>0</v>
      </c>
      <c r="K121" s="54"/>
      <c r="L121" s="115"/>
      <c r="M121" s="54">
        <f t="shared" si="44"/>
        <v>0</v>
      </c>
      <c r="N121" s="115"/>
      <c r="O121" s="54">
        <f t="shared" si="23"/>
        <v>0</v>
      </c>
      <c r="P121" s="54">
        <f t="shared" si="24"/>
        <v>0</v>
      </c>
    </row>
    <row r="122" spans="2:16" ht="12.5">
      <c r="B122" s="7" t="str">
        <f t="shared" si="29"/>
        <v/>
      </c>
      <c r="C122" s="50">
        <f>IF(D93="","-",+C121+1)</f>
        <v>2043</v>
      </c>
      <c r="D122" s="12">
        <f>IF(F121+SUM(E$99:E121)=D$92,F121,D$92-SUM(E$99:E121))</f>
        <v>1049769</v>
      </c>
      <c r="E122" s="354">
        <f t="shared" si="39"/>
        <v>68570</v>
      </c>
      <c r="F122" s="55">
        <f t="shared" si="40"/>
        <v>981199</v>
      </c>
      <c r="G122" s="55">
        <f t="shared" si="41"/>
        <v>1015484</v>
      </c>
      <c r="H122" s="436">
        <f t="shared" si="42"/>
        <v>204968.50065925193</v>
      </c>
      <c r="I122" s="437">
        <f t="shared" si="43"/>
        <v>204968.50065925193</v>
      </c>
      <c r="J122" s="54">
        <f t="shared" si="25"/>
        <v>0</v>
      </c>
      <c r="K122" s="54"/>
      <c r="L122" s="115"/>
      <c r="M122" s="54">
        <f t="shared" si="44"/>
        <v>0</v>
      </c>
      <c r="N122" s="115"/>
      <c r="O122" s="54">
        <f t="shared" si="23"/>
        <v>0</v>
      </c>
      <c r="P122" s="54">
        <f t="shared" si="24"/>
        <v>0</v>
      </c>
    </row>
    <row r="123" spans="2:16" ht="12.5">
      <c r="B123" s="7" t="str">
        <f t="shared" si="29"/>
        <v/>
      </c>
      <c r="C123" s="50">
        <f>IF(D93="","-",+C122+1)</f>
        <v>2044</v>
      </c>
      <c r="D123" s="12">
        <f>IF(F122+SUM(E$99:E122)=D$92,F122,D$92-SUM(E$99:E122))</f>
        <v>981199</v>
      </c>
      <c r="E123" s="354">
        <f t="shared" si="39"/>
        <v>68570</v>
      </c>
      <c r="F123" s="55">
        <f t="shared" si="40"/>
        <v>912629</v>
      </c>
      <c r="G123" s="55">
        <f t="shared" si="41"/>
        <v>946914</v>
      </c>
      <c r="H123" s="436">
        <f t="shared" si="42"/>
        <v>195758.26673118916</v>
      </c>
      <c r="I123" s="437">
        <f t="shared" si="43"/>
        <v>195758.26673118916</v>
      </c>
      <c r="J123" s="54">
        <f t="shared" si="25"/>
        <v>0</v>
      </c>
      <c r="K123" s="54"/>
      <c r="L123" s="115"/>
      <c r="M123" s="54">
        <f t="shared" si="44"/>
        <v>0</v>
      </c>
      <c r="N123" s="115"/>
      <c r="O123" s="54">
        <f t="shared" si="23"/>
        <v>0</v>
      </c>
      <c r="P123" s="54">
        <f t="shared" si="24"/>
        <v>0</v>
      </c>
    </row>
    <row r="124" spans="2:16" ht="12.5">
      <c r="B124" s="7" t="str">
        <f t="shared" si="29"/>
        <v/>
      </c>
      <c r="C124" s="50">
        <f>IF(D93="","-",+C123+1)</f>
        <v>2045</v>
      </c>
      <c r="D124" s="12">
        <f>IF(F123+SUM(E$99:E123)=D$92,F123,D$92-SUM(E$99:E123))</f>
        <v>912629</v>
      </c>
      <c r="E124" s="354">
        <f t="shared" si="39"/>
        <v>68570</v>
      </c>
      <c r="F124" s="55">
        <f t="shared" si="40"/>
        <v>844059</v>
      </c>
      <c r="G124" s="55">
        <f t="shared" si="41"/>
        <v>878344</v>
      </c>
      <c r="H124" s="436">
        <f t="shared" si="42"/>
        <v>186548.03280312638</v>
      </c>
      <c r="I124" s="437">
        <f t="shared" si="43"/>
        <v>186548.03280312638</v>
      </c>
      <c r="J124" s="54">
        <f t="shared" si="25"/>
        <v>0</v>
      </c>
      <c r="K124" s="54"/>
      <c r="L124" s="115"/>
      <c r="M124" s="54">
        <f t="shared" si="44"/>
        <v>0</v>
      </c>
      <c r="N124" s="115"/>
      <c r="O124" s="54">
        <f t="shared" si="23"/>
        <v>0</v>
      </c>
      <c r="P124" s="54">
        <f t="shared" si="24"/>
        <v>0</v>
      </c>
    </row>
    <row r="125" spans="2:16" ht="12.5">
      <c r="B125" s="7" t="str">
        <f t="shared" si="29"/>
        <v/>
      </c>
      <c r="C125" s="50">
        <f>IF(D93="","-",+C124+1)</f>
        <v>2046</v>
      </c>
      <c r="D125" s="12">
        <f>IF(F124+SUM(E$99:E124)=D$92,F124,D$92-SUM(E$99:E124))</f>
        <v>844059</v>
      </c>
      <c r="E125" s="354">
        <f t="shared" si="39"/>
        <v>68570</v>
      </c>
      <c r="F125" s="55">
        <f t="shared" si="40"/>
        <v>775489</v>
      </c>
      <c r="G125" s="55">
        <f t="shared" si="41"/>
        <v>809774</v>
      </c>
      <c r="H125" s="436">
        <f t="shared" si="42"/>
        <v>177337.7988750636</v>
      </c>
      <c r="I125" s="437">
        <f t="shared" si="43"/>
        <v>177337.7988750636</v>
      </c>
      <c r="J125" s="54">
        <f t="shared" si="25"/>
        <v>0</v>
      </c>
      <c r="K125" s="54"/>
      <c r="L125" s="115"/>
      <c r="M125" s="54">
        <f t="shared" si="44"/>
        <v>0</v>
      </c>
      <c r="N125" s="115"/>
      <c r="O125" s="54">
        <f t="shared" si="23"/>
        <v>0</v>
      </c>
      <c r="P125" s="54">
        <f t="shared" si="24"/>
        <v>0</v>
      </c>
    </row>
    <row r="126" spans="2:16" ht="12.5">
      <c r="B126" s="7" t="str">
        <f t="shared" si="29"/>
        <v/>
      </c>
      <c r="C126" s="50">
        <f>IF(D93="","-",+C125+1)</f>
        <v>2047</v>
      </c>
      <c r="D126" s="12">
        <f>IF(F125+SUM(E$99:E125)=D$92,F125,D$92-SUM(E$99:E125))</f>
        <v>775489</v>
      </c>
      <c r="E126" s="354">
        <f t="shared" si="39"/>
        <v>68570</v>
      </c>
      <c r="F126" s="55">
        <f t="shared" si="40"/>
        <v>706919</v>
      </c>
      <c r="G126" s="55">
        <f t="shared" si="41"/>
        <v>741204</v>
      </c>
      <c r="H126" s="436">
        <f t="shared" si="42"/>
        <v>168127.56494700082</v>
      </c>
      <c r="I126" s="437">
        <f t="shared" si="43"/>
        <v>168127.56494700082</v>
      </c>
      <c r="J126" s="54">
        <f t="shared" si="25"/>
        <v>0</v>
      </c>
      <c r="K126" s="54"/>
      <c r="L126" s="115"/>
      <c r="M126" s="54">
        <f t="shared" si="44"/>
        <v>0</v>
      </c>
      <c r="N126" s="115"/>
      <c r="O126" s="54">
        <f t="shared" si="23"/>
        <v>0</v>
      </c>
      <c r="P126" s="54">
        <f t="shared" si="24"/>
        <v>0</v>
      </c>
    </row>
    <row r="127" spans="2:16" ht="12.5">
      <c r="B127" s="7" t="str">
        <f t="shared" si="29"/>
        <v/>
      </c>
      <c r="C127" s="50">
        <f>IF(D93="","-",+C126+1)</f>
        <v>2048</v>
      </c>
      <c r="D127" s="12">
        <f>IF(F126+SUM(E$99:E126)=D$92,F126,D$92-SUM(E$99:E126))</f>
        <v>706919</v>
      </c>
      <c r="E127" s="354">
        <f t="shared" si="39"/>
        <v>68570</v>
      </c>
      <c r="F127" s="55">
        <f t="shared" si="40"/>
        <v>638349</v>
      </c>
      <c r="G127" s="55">
        <f t="shared" si="41"/>
        <v>672634</v>
      </c>
      <c r="H127" s="436">
        <f t="shared" si="42"/>
        <v>158917.33101893804</v>
      </c>
      <c r="I127" s="437">
        <f t="shared" si="43"/>
        <v>158917.33101893804</v>
      </c>
      <c r="J127" s="54">
        <f t="shared" si="25"/>
        <v>0</v>
      </c>
      <c r="K127" s="54"/>
      <c r="L127" s="115"/>
      <c r="M127" s="54">
        <f t="shared" si="44"/>
        <v>0</v>
      </c>
      <c r="N127" s="115"/>
      <c r="O127" s="54">
        <f t="shared" si="23"/>
        <v>0</v>
      </c>
      <c r="P127" s="54">
        <f t="shared" si="24"/>
        <v>0</v>
      </c>
    </row>
    <row r="128" spans="2:16" ht="12.5">
      <c r="B128" s="7" t="str">
        <f t="shared" si="29"/>
        <v/>
      </c>
      <c r="C128" s="50">
        <f>IF(D93="","-",+C127+1)</f>
        <v>2049</v>
      </c>
      <c r="D128" s="12">
        <f>IF(F127+SUM(E$99:E127)=D$92,F127,D$92-SUM(E$99:E127))</f>
        <v>638349</v>
      </c>
      <c r="E128" s="354">
        <f t="shared" si="39"/>
        <v>68570</v>
      </c>
      <c r="F128" s="55">
        <f t="shared" si="40"/>
        <v>569779</v>
      </c>
      <c r="G128" s="55">
        <f t="shared" si="41"/>
        <v>604064</v>
      </c>
      <c r="H128" s="436">
        <f t="shared" si="42"/>
        <v>149707.09709087526</v>
      </c>
      <c r="I128" s="437">
        <f t="shared" si="43"/>
        <v>149707.09709087526</v>
      </c>
      <c r="J128" s="54">
        <f t="shared" si="25"/>
        <v>0</v>
      </c>
      <c r="K128" s="54"/>
      <c r="L128" s="115"/>
      <c r="M128" s="54">
        <f t="shared" si="44"/>
        <v>0</v>
      </c>
      <c r="N128" s="115"/>
      <c r="O128" s="54">
        <f t="shared" si="23"/>
        <v>0</v>
      </c>
      <c r="P128" s="54">
        <f t="shared" si="24"/>
        <v>0</v>
      </c>
    </row>
    <row r="129" spans="2:16" ht="12.5">
      <c r="B129" s="7" t="str">
        <f t="shared" si="29"/>
        <v/>
      </c>
      <c r="C129" s="50">
        <f>IF(D93="","-",+C128+1)</f>
        <v>2050</v>
      </c>
      <c r="D129" s="12">
        <f>IF(F128+SUM(E$99:E128)=D$92,F128,D$92-SUM(E$99:E128))</f>
        <v>569779</v>
      </c>
      <c r="E129" s="354">
        <f t="shared" si="39"/>
        <v>68570</v>
      </c>
      <c r="F129" s="55">
        <f t="shared" si="40"/>
        <v>501209</v>
      </c>
      <c r="G129" s="55">
        <f t="shared" si="41"/>
        <v>535494</v>
      </c>
      <c r="H129" s="436">
        <f t="shared" si="42"/>
        <v>140496.86316281249</v>
      </c>
      <c r="I129" s="437">
        <f t="shared" si="43"/>
        <v>140496.86316281249</v>
      </c>
      <c r="J129" s="54">
        <f t="shared" si="25"/>
        <v>0</v>
      </c>
      <c r="K129" s="54"/>
      <c r="L129" s="115"/>
      <c r="M129" s="54">
        <f t="shared" si="44"/>
        <v>0</v>
      </c>
      <c r="N129" s="115"/>
      <c r="O129" s="54">
        <f t="shared" si="23"/>
        <v>0</v>
      </c>
      <c r="P129" s="54">
        <f t="shared" si="24"/>
        <v>0</v>
      </c>
    </row>
    <row r="130" spans="2:16" ht="12.5">
      <c r="B130" s="7" t="str">
        <f t="shared" si="29"/>
        <v/>
      </c>
      <c r="C130" s="50">
        <f>IF(D93="","-",+C129+1)</f>
        <v>2051</v>
      </c>
      <c r="D130" s="12">
        <f>IF(F129+SUM(E$99:E129)=D$92,F129,D$92-SUM(E$99:E129))</f>
        <v>501209</v>
      </c>
      <c r="E130" s="354">
        <f t="shared" si="39"/>
        <v>68570</v>
      </c>
      <c r="F130" s="55">
        <f t="shared" si="40"/>
        <v>432639</v>
      </c>
      <c r="G130" s="55">
        <f t="shared" si="41"/>
        <v>466924</v>
      </c>
      <c r="H130" s="436">
        <f t="shared" si="42"/>
        <v>131286.62923474971</v>
      </c>
      <c r="I130" s="437">
        <f t="shared" si="43"/>
        <v>131286.62923474971</v>
      </c>
      <c r="J130" s="54">
        <f t="shared" si="25"/>
        <v>0</v>
      </c>
      <c r="K130" s="54"/>
      <c r="L130" s="115"/>
      <c r="M130" s="54">
        <f t="shared" si="44"/>
        <v>0</v>
      </c>
      <c r="N130" s="115"/>
      <c r="O130" s="54">
        <f t="shared" si="23"/>
        <v>0</v>
      </c>
      <c r="P130" s="54">
        <f t="shared" si="24"/>
        <v>0</v>
      </c>
    </row>
    <row r="131" spans="2:16" ht="12.5">
      <c r="B131" s="7" t="str">
        <f t="shared" si="29"/>
        <v/>
      </c>
      <c r="C131" s="50">
        <f>IF(D93="","-",+C130+1)</f>
        <v>2052</v>
      </c>
      <c r="D131" s="12">
        <f>IF(F130+SUM(E$99:E130)=D$92,F130,D$92-SUM(E$99:E130))</f>
        <v>432639</v>
      </c>
      <c r="E131" s="354">
        <f t="shared" si="39"/>
        <v>68570</v>
      </c>
      <c r="F131" s="55">
        <f t="shared" si="40"/>
        <v>364069</v>
      </c>
      <c r="G131" s="55">
        <f t="shared" si="41"/>
        <v>398354</v>
      </c>
      <c r="H131" s="436">
        <f t="shared" si="42"/>
        <v>122076.3953066869</v>
      </c>
      <c r="I131" s="437">
        <f t="shared" si="43"/>
        <v>122076.3953066869</v>
      </c>
      <c r="J131" s="54">
        <f t="shared" ref="J131:J154" si="45">+I540-H540</f>
        <v>0</v>
      </c>
      <c r="K131" s="54"/>
      <c r="L131" s="115"/>
      <c r="M131" s="54">
        <f t="shared" ref="M131:M154" si="46">IF(L540&lt;&gt;0,+H540-L540,0)</f>
        <v>0</v>
      </c>
      <c r="N131" s="115"/>
      <c r="O131" s="54">
        <f t="shared" ref="O131:O154" si="47">IF(N540&lt;&gt;0,+I540-N540,0)</f>
        <v>0</v>
      </c>
      <c r="P131" s="54">
        <f t="shared" ref="P131:P154" si="48">+O540-M540</f>
        <v>0</v>
      </c>
    </row>
    <row r="132" spans="2:16" ht="12.5">
      <c r="B132" s="7" t="str">
        <f t="shared" si="29"/>
        <v/>
      </c>
      <c r="C132" s="50">
        <f>IF(D93="","-",+C131+1)</f>
        <v>2053</v>
      </c>
      <c r="D132" s="12">
        <f>IF(F131+SUM(E$99:E131)=D$92,F131,D$92-SUM(E$99:E131))</f>
        <v>364069</v>
      </c>
      <c r="E132" s="354">
        <f t="shared" si="39"/>
        <v>68570</v>
      </c>
      <c r="F132" s="55">
        <f t="shared" si="40"/>
        <v>295499</v>
      </c>
      <c r="G132" s="55">
        <f t="shared" si="41"/>
        <v>329784</v>
      </c>
      <c r="H132" s="436">
        <f t="shared" si="42"/>
        <v>112866.16137862412</v>
      </c>
      <c r="I132" s="437">
        <f t="shared" si="43"/>
        <v>112866.16137862412</v>
      </c>
      <c r="J132" s="54">
        <f t="shared" si="45"/>
        <v>0</v>
      </c>
      <c r="K132" s="54"/>
      <c r="L132" s="115"/>
      <c r="M132" s="54">
        <f t="shared" si="46"/>
        <v>0</v>
      </c>
      <c r="N132" s="115"/>
      <c r="O132" s="54">
        <f t="shared" si="47"/>
        <v>0</v>
      </c>
      <c r="P132" s="54">
        <f t="shared" si="48"/>
        <v>0</v>
      </c>
    </row>
    <row r="133" spans="2:16" ht="12.5">
      <c r="B133" s="7" t="str">
        <f t="shared" si="29"/>
        <v/>
      </c>
      <c r="C133" s="50">
        <f>IF(D93="","-",+C132+1)</f>
        <v>2054</v>
      </c>
      <c r="D133" s="12">
        <f>IF(F132+SUM(E$99:E132)=D$92,F132,D$92-SUM(E$99:E132))</f>
        <v>295499</v>
      </c>
      <c r="E133" s="354">
        <f t="shared" si="39"/>
        <v>68570</v>
      </c>
      <c r="F133" s="55">
        <f t="shared" si="40"/>
        <v>226929</v>
      </c>
      <c r="G133" s="55">
        <f t="shared" si="41"/>
        <v>261214</v>
      </c>
      <c r="H133" s="436">
        <f t="shared" si="42"/>
        <v>103655.92745056134</v>
      </c>
      <c r="I133" s="437">
        <f t="shared" si="43"/>
        <v>103655.92745056134</v>
      </c>
      <c r="J133" s="54">
        <f t="shared" si="45"/>
        <v>0</v>
      </c>
      <c r="K133" s="54"/>
      <c r="L133" s="115"/>
      <c r="M133" s="54">
        <f t="shared" si="46"/>
        <v>0</v>
      </c>
      <c r="N133" s="115"/>
      <c r="O133" s="54">
        <f t="shared" si="47"/>
        <v>0</v>
      </c>
      <c r="P133" s="54">
        <f t="shared" si="48"/>
        <v>0</v>
      </c>
    </row>
    <row r="134" spans="2:16" ht="12.5">
      <c r="B134" s="7" t="str">
        <f t="shared" si="29"/>
        <v/>
      </c>
      <c r="C134" s="50">
        <f>IF(D93="","-",+C133+1)</f>
        <v>2055</v>
      </c>
      <c r="D134" s="12">
        <f>IF(F133+SUM(E$99:E133)=D$92,F133,D$92-SUM(E$99:E133))</f>
        <v>226929</v>
      </c>
      <c r="E134" s="354">
        <f t="shared" si="39"/>
        <v>68570</v>
      </c>
      <c r="F134" s="55">
        <f t="shared" si="40"/>
        <v>158359</v>
      </c>
      <c r="G134" s="55">
        <f t="shared" si="41"/>
        <v>192644</v>
      </c>
      <c r="H134" s="436">
        <f t="shared" si="42"/>
        <v>94445.693522498565</v>
      </c>
      <c r="I134" s="437">
        <f t="shared" si="43"/>
        <v>94445.693522498565</v>
      </c>
      <c r="J134" s="54">
        <f t="shared" si="45"/>
        <v>0</v>
      </c>
      <c r="K134" s="54"/>
      <c r="L134" s="115"/>
      <c r="M134" s="54">
        <f t="shared" si="46"/>
        <v>0</v>
      </c>
      <c r="N134" s="115"/>
      <c r="O134" s="54">
        <f t="shared" si="47"/>
        <v>0</v>
      </c>
      <c r="P134" s="54">
        <f t="shared" si="48"/>
        <v>0</v>
      </c>
    </row>
    <row r="135" spans="2:16" ht="12.5">
      <c r="B135" s="7" t="str">
        <f t="shared" si="29"/>
        <v/>
      </c>
      <c r="C135" s="50">
        <f>IF(D93="","-",+C134+1)</f>
        <v>2056</v>
      </c>
      <c r="D135" s="12">
        <f>IF(F134+SUM(E$99:E134)=D$92,F134,D$92-SUM(E$99:E134))</f>
        <v>158359</v>
      </c>
      <c r="E135" s="354">
        <f t="shared" si="39"/>
        <v>68570</v>
      </c>
      <c r="F135" s="55">
        <f t="shared" si="40"/>
        <v>89789</v>
      </c>
      <c r="G135" s="55">
        <f t="shared" si="41"/>
        <v>124074</v>
      </c>
      <c r="H135" s="436">
        <f t="shared" si="42"/>
        <v>85235.459594435786</v>
      </c>
      <c r="I135" s="437">
        <f t="shared" si="43"/>
        <v>85235.459594435786</v>
      </c>
      <c r="J135" s="54">
        <f t="shared" si="45"/>
        <v>0</v>
      </c>
      <c r="K135" s="54"/>
      <c r="L135" s="115"/>
      <c r="M135" s="54">
        <f t="shared" si="46"/>
        <v>0</v>
      </c>
      <c r="N135" s="115"/>
      <c r="O135" s="54">
        <f t="shared" si="47"/>
        <v>0</v>
      </c>
      <c r="P135" s="54">
        <f t="shared" si="48"/>
        <v>0</v>
      </c>
    </row>
    <row r="136" spans="2:16" ht="12.5">
      <c r="B136" s="7" t="str">
        <f t="shared" si="29"/>
        <v/>
      </c>
      <c r="C136" s="50">
        <f>IF(D93="","-",+C135+1)</f>
        <v>2057</v>
      </c>
      <c r="D136" s="12">
        <f>IF(F135+SUM(E$99:E135)=D$92,F135,D$92-SUM(E$99:E135))</f>
        <v>89789</v>
      </c>
      <c r="E136" s="354">
        <f t="shared" si="39"/>
        <v>68570</v>
      </c>
      <c r="F136" s="55">
        <f t="shared" si="40"/>
        <v>21219</v>
      </c>
      <c r="G136" s="55">
        <f t="shared" si="41"/>
        <v>55504</v>
      </c>
      <c r="H136" s="436">
        <f t="shared" si="42"/>
        <v>76025.225666373008</v>
      </c>
      <c r="I136" s="437">
        <f t="shared" si="43"/>
        <v>76025.225666373008</v>
      </c>
      <c r="J136" s="54">
        <f t="shared" si="45"/>
        <v>0</v>
      </c>
      <c r="K136" s="54"/>
      <c r="L136" s="115"/>
      <c r="M136" s="54">
        <f t="shared" si="46"/>
        <v>0</v>
      </c>
      <c r="N136" s="115"/>
      <c r="O136" s="54">
        <f t="shared" si="47"/>
        <v>0</v>
      </c>
      <c r="P136" s="54">
        <f t="shared" si="48"/>
        <v>0</v>
      </c>
    </row>
    <row r="137" spans="2:16" ht="12.5">
      <c r="B137" s="7" t="str">
        <f t="shared" si="29"/>
        <v/>
      </c>
      <c r="C137" s="50">
        <f>IF(D93="","-",+C136+1)</f>
        <v>2058</v>
      </c>
      <c r="D137" s="12">
        <f>IF(F136+SUM(E$99:E136)=D$92,F136,D$92-SUM(E$99:E136))</f>
        <v>21219</v>
      </c>
      <c r="E137" s="354">
        <f t="shared" si="39"/>
        <v>21219</v>
      </c>
      <c r="F137" s="55">
        <f t="shared" si="40"/>
        <v>0</v>
      </c>
      <c r="G137" s="55">
        <f t="shared" si="41"/>
        <v>10609.5</v>
      </c>
      <c r="H137" s="436">
        <f t="shared" si="42"/>
        <v>22644.054351170806</v>
      </c>
      <c r="I137" s="437">
        <f t="shared" si="43"/>
        <v>22644.054351170806</v>
      </c>
      <c r="J137" s="54">
        <f t="shared" si="45"/>
        <v>0</v>
      </c>
      <c r="K137" s="54"/>
      <c r="L137" s="115"/>
      <c r="M137" s="54">
        <f t="shared" si="46"/>
        <v>0</v>
      </c>
      <c r="N137" s="115"/>
      <c r="O137" s="54">
        <f t="shared" si="47"/>
        <v>0</v>
      </c>
      <c r="P137" s="54">
        <f t="shared" si="48"/>
        <v>0</v>
      </c>
    </row>
    <row r="138" spans="2:16" ht="12.5">
      <c r="B138" s="7" t="str">
        <f t="shared" si="29"/>
        <v/>
      </c>
      <c r="C138" s="50">
        <f>IF(D93="","-",+C137+1)</f>
        <v>2059</v>
      </c>
      <c r="D138" s="12">
        <f>IF(F137+SUM(E$99:E137)=D$92,F137,D$92-SUM(E$99:E137))</f>
        <v>0</v>
      </c>
      <c r="E138" s="354">
        <f t="shared" si="39"/>
        <v>0</v>
      </c>
      <c r="F138" s="55">
        <f t="shared" si="40"/>
        <v>0</v>
      </c>
      <c r="G138" s="55">
        <f t="shared" si="41"/>
        <v>0</v>
      </c>
      <c r="H138" s="436">
        <f t="shared" si="42"/>
        <v>0</v>
      </c>
      <c r="I138" s="437">
        <f t="shared" si="43"/>
        <v>0</v>
      </c>
      <c r="J138" s="54">
        <f t="shared" si="45"/>
        <v>0</v>
      </c>
      <c r="K138" s="54"/>
      <c r="L138" s="115"/>
      <c r="M138" s="54">
        <f t="shared" si="46"/>
        <v>0</v>
      </c>
      <c r="N138" s="115"/>
      <c r="O138" s="54">
        <f t="shared" si="47"/>
        <v>0</v>
      </c>
      <c r="P138" s="54">
        <f t="shared" si="48"/>
        <v>0</v>
      </c>
    </row>
    <row r="139" spans="2:16" ht="12.5">
      <c r="B139" s="7" t="str">
        <f t="shared" si="29"/>
        <v/>
      </c>
      <c r="C139" s="50">
        <f>IF(D93="","-",+C138+1)</f>
        <v>2060</v>
      </c>
      <c r="D139" s="12">
        <f>IF(F138+SUM(E$99:E138)=D$92,F138,D$92-SUM(E$99:E138))</f>
        <v>0</v>
      </c>
      <c r="E139" s="354">
        <f t="shared" si="39"/>
        <v>0</v>
      </c>
      <c r="F139" s="55">
        <f t="shared" si="40"/>
        <v>0</v>
      </c>
      <c r="G139" s="55">
        <f t="shared" si="41"/>
        <v>0</v>
      </c>
      <c r="H139" s="436">
        <f t="shared" si="42"/>
        <v>0</v>
      </c>
      <c r="I139" s="437">
        <f t="shared" si="43"/>
        <v>0</v>
      </c>
      <c r="J139" s="54">
        <f t="shared" si="45"/>
        <v>0</v>
      </c>
      <c r="K139" s="54"/>
      <c r="L139" s="115"/>
      <c r="M139" s="54">
        <f t="shared" si="46"/>
        <v>0</v>
      </c>
      <c r="N139" s="115"/>
      <c r="O139" s="54">
        <f t="shared" si="47"/>
        <v>0</v>
      </c>
      <c r="P139" s="54">
        <f t="shared" si="48"/>
        <v>0</v>
      </c>
    </row>
    <row r="140" spans="2:16" ht="12.5">
      <c r="B140" s="7" t="str">
        <f t="shared" si="29"/>
        <v/>
      </c>
      <c r="C140" s="50">
        <f>IF(D93="","-",+C139+1)</f>
        <v>2061</v>
      </c>
      <c r="D140" s="12">
        <f>IF(F139+SUM(E$99:E139)=D$92,F139,D$92-SUM(E$99:E139))</f>
        <v>0</v>
      </c>
      <c r="E140" s="354">
        <f t="shared" si="39"/>
        <v>0</v>
      </c>
      <c r="F140" s="55">
        <f t="shared" si="40"/>
        <v>0</v>
      </c>
      <c r="G140" s="55">
        <f t="shared" si="41"/>
        <v>0</v>
      </c>
      <c r="H140" s="436">
        <f t="shared" si="42"/>
        <v>0</v>
      </c>
      <c r="I140" s="437">
        <f t="shared" si="43"/>
        <v>0</v>
      </c>
      <c r="J140" s="54">
        <f t="shared" si="45"/>
        <v>0</v>
      </c>
      <c r="K140" s="54"/>
      <c r="L140" s="115"/>
      <c r="M140" s="54">
        <f t="shared" si="46"/>
        <v>0</v>
      </c>
      <c r="N140" s="115"/>
      <c r="O140" s="54">
        <f t="shared" si="47"/>
        <v>0</v>
      </c>
      <c r="P140" s="54">
        <f t="shared" si="48"/>
        <v>0</v>
      </c>
    </row>
    <row r="141" spans="2:16" ht="12.5">
      <c r="B141" s="7" t="str">
        <f t="shared" si="29"/>
        <v/>
      </c>
      <c r="C141" s="50">
        <f>IF(D93="","-",+C140+1)</f>
        <v>2062</v>
      </c>
      <c r="D141" s="12">
        <f>IF(F140+SUM(E$99:E140)=D$92,F140,D$92-SUM(E$99:E140))</f>
        <v>0</v>
      </c>
      <c r="E141" s="354">
        <f t="shared" si="39"/>
        <v>0</v>
      </c>
      <c r="F141" s="55">
        <f t="shared" si="40"/>
        <v>0</v>
      </c>
      <c r="G141" s="55">
        <f t="shared" si="41"/>
        <v>0</v>
      </c>
      <c r="H141" s="436">
        <f t="shared" si="42"/>
        <v>0</v>
      </c>
      <c r="I141" s="437">
        <f t="shared" si="43"/>
        <v>0</v>
      </c>
      <c r="J141" s="54">
        <f t="shared" si="45"/>
        <v>0</v>
      </c>
      <c r="K141" s="54"/>
      <c r="L141" s="115"/>
      <c r="M141" s="54">
        <f t="shared" si="46"/>
        <v>0</v>
      </c>
      <c r="N141" s="115"/>
      <c r="O141" s="54">
        <f t="shared" si="47"/>
        <v>0</v>
      </c>
      <c r="P141" s="54">
        <f t="shared" si="48"/>
        <v>0</v>
      </c>
    </row>
    <row r="142" spans="2:16" ht="12.5">
      <c r="B142" s="7" t="str">
        <f t="shared" si="29"/>
        <v/>
      </c>
      <c r="C142" s="50">
        <f>IF(D93="","-",+C141+1)</f>
        <v>2063</v>
      </c>
      <c r="D142" s="12">
        <f>IF(F141+SUM(E$99:E141)=D$92,F141,D$92-SUM(E$99:E141))</f>
        <v>0</v>
      </c>
      <c r="E142" s="354">
        <f t="shared" si="39"/>
        <v>0</v>
      </c>
      <c r="F142" s="55">
        <f t="shared" si="40"/>
        <v>0</v>
      </c>
      <c r="G142" s="55">
        <f t="shared" si="41"/>
        <v>0</v>
      </c>
      <c r="H142" s="436">
        <f t="shared" si="42"/>
        <v>0</v>
      </c>
      <c r="I142" s="437">
        <f t="shared" si="43"/>
        <v>0</v>
      </c>
      <c r="J142" s="54">
        <f t="shared" si="45"/>
        <v>0</v>
      </c>
      <c r="K142" s="54"/>
      <c r="L142" s="115"/>
      <c r="M142" s="54">
        <f t="shared" si="46"/>
        <v>0</v>
      </c>
      <c r="N142" s="115"/>
      <c r="O142" s="54">
        <f t="shared" si="47"/>
        <v>0</v>
      </c>
      <c r="P142" s="54">
        <f t="shared" si="48"/>
        <v>0</v>
      </c>
    </row>
    <row r="143" spans="2:16" ht="12.5">
      <c r="B143" s="7" t="str">
        <f t="shared" si="29"/>
        <v/>
      </c>
      <c r="C143" s="50">
        <f>IF(D93="","-",+C142+1)</f>
        <v>2064</v>
      </c>
      <c r="D143" s="12">
        <f>IF(F142+SUM(E$99:E142)=D$92,F142,D$92-SUM(E$99:E142))</f>
        <v>0</v>
      </c>
      <c r="E143" s="354">
        <f t="shared" si="39"/>
        <v>0</v>
      </c>
      <c r="F143" s="55">
        <f t="shared" si="40"/>
        <v>0</v>
      </c>
      <c r="G143" s="55">
        <f t="shared" si="41"/>
        <v>0</v>
      </c>
      <c r="H143" s="436">
        <f t="shared" si="42"/>
        <v>0</v>
      </c>
      <c r="I143" s="437">
        <f t="shared" si="43"/>
        <v>0</v>
      </c>
      <c r="J143" s="54">
        <f t="shared" si="45"/>
        <v>0</v>
      </c>
      <c r="K143" s="54"/>
      <c r="L143" s="115"/>
      <c r="M143" s="54">
        <f t="shared" si="46"/>
        <v>0</v>
      </c>
      <c r="N143" s="115"/>
      <c r="O143" s="54">
        <f t="shared" si="47"/>
        <v>0</v>
      </c>
      <c r="P143" s="54">
        <f t="shared" si="48"/>
        <v>0</v>
      </c>
    </row>
    <row r="144" spans="2:16" ht="12.5">
      <c r="B144" s="7" t="str">
        <f t="shared" si="29"/>
        <v/>
      </c>
      <c r="C144" s="50">
        <f>IF(D93="","-",+C143+1)</f>
        <v>2065</v>
      </c>
      <c r="D144" s="12">
        <f>IF(F143+SUM(E$99:E143)=D$92,F143,D$92-SUM(E$99:E143))</f>
        <v>0</v>
      </c>
      <c r="E144" s="354">
        <f t="shared" si="39"/>
        <v>0</v>
      </c>
      <c r="F144" s="55">
        <f t="shared" si="40"/>
        <v>0</v>
      </c>
      <c r="G144" s="55">
        <f t="shared" si="41"/>
        <v>0</v>
      </c>
      <c r="H144" s="436">
        <f t="shared" si="42"/>
        <v>0</v>
      </c>
      <c r="I144" s="437">
        <f t="shared" si="43"/>
        <v>0</v>
      </c>
      <c r="J144" s="54">
        <f t="shared" si="45"/>
        <v>0</v>
      </c>
      <c r="K144" s="54"/>
      <c r="L144" s="115"/>
      <c r="M144" s="54">
        <f t="shared" si="46"/>
        <v>0</v>
      </c>
      <c r="N144" s="115"/>
      <c r="O144" s="54">
        <f t="shared" si="47"/>
        <v>0</v>
      </c>
      <c r="P144" s="54">
        <f t="shared" si="48"/>
        <v>0</v>
      </c>
    </row>
    <row r="145" spans="2:16" ht="12.5">
      <c r="B145" s="7" t="str">
        <f t="shared" si="29"/>
        <v/>
      </c>
      <c r="C145" s="50">
        <f>IF(D93="","-",+C144+1)</f>
        <v>2066</v>
      </c>
      <c r="D145" s="12">
        <f>IF(F144+SUM(E$99:E144)=D$92,F144,D$92-SUM(E$99:E144))</f>
        <v>0</v>
      </c>
      <c r="E145" s="354">
        <f t="shared" si="39"/>
        <v>0</v>
      </c>
      <c r="F145" s="55">
        <f t="shared" si="40"/>
        <v>0</v>
      </c>
      <c r="G145" s="55">
        <f t="shared" si="41"/>
        <v>0</v>
      </c>
      <c r="H145" s="436">
        <f t="shared" si="42"/>
        <v>0</v>
      </c>
      <c r="I145" s="437">
        <f t="shared" si="43"/>
        <v>0</v>
      </c>
      <c r="J145" s="54">
        <f t="shared" si="45"/>
        <v>0</v>
      </c>
      <c r="K145" s="54"/>
      <c r="L145" s="115"/>
      <c r="M145" s="54">
        <f t="shared" si="46"/>
        <v>0</v>
      </c>
      <c r="N145" s="115"/>
      <c r="O145" s="54">
        <f t="shared" si="47"/>
        <v>0</v>
      </c>
      <c r="P145" s="54">
        <f t="shared" si="48"/>
        <v>0</v>
      </c>
    </row>
    <row r="146" spans="2:16" ht="12.5">
      <c r="B146" s="7" t="str">
        <f t="shared" si="29"/>
        <v/>
      </c>
      <c r="C146" s="50">
        <f>IF(D93="","-",+C145+1)</f>
        <v>2067</v>
      </c>
      <c r="D146" s="12">
        <f>IF(F145+SUM(E$99:E145)=D$92,F145,D$92-SUM(E$99:E145))</f>
        <v>0</v>
      </c>
      <c r="E146" s="354">
        <f t="shared" si="39"/>
        <v>0</v>
      </c>
      <c r="F146" s="55">
        <f t="shared" si="40"/>
        <v>0</v>
      </c>
      <c r="G146" s="55">
        <f t="shared" si="41"/>
        <v>0</v>
      </c>
      <c r="H146" s="436">
        <f t="shared" si="42"/>
        <v>0</v>
      </c>
      <c r="I146" s="437">
        <f t="shared" si="43"/>
        <v>0</v>
      </c>
      <c r="J146" s="54">
        <f t="shared" si="45"/>
        <v>0</v>
      </c>
      <c r="K146" s="54"/>
      <c r="L146" s="115"/>
      <c r="M146" s="54">
        <f t="shared" si="46"/>
        <v>0</v>
      </c>
      <c r="N146" s="115"/>
      <c r="O146" s="54">
        <f t="shared" si="47"/>
        <v>0</v>
      </c>
      <c r="P146" s="54">
        <f t="shared" si="48"/>
        <v>0</v>
      </c>
    </row>
    <row r="147" spans="2:16" ht="12.5">
      <c r="B147" s="7" t="str">
        <f t="shared" si="29"/>
        <v/>
      </c>
      <c r="C147" s="50">
        <f>IF(D93="","-",+C146+1)</f>
        <v>2068</v>
      </c>
      <c r="D147" s="12">
        <f>IF(F146+SUM(E$99:E146)=D$92,F146,D$92-SUM(E$99:E146))</f>
        <v>0</v>
      </c>
      <c r="E147" s="354">
        <f t="shared" si="39"/>
        <v>0</v>
      </c>
      <c r="F147" s="55">
        <f t="shared" si="40"/>
        <v>0</v>
      </c>
      <c r="G147" s="55">
        <f t="shared" si="41"/>
        <v>0</v>
      </c>
      <c r="H147" s="436">
        <f t="shared" si="42"/>
        <v>0</v>
      </c>
      <c r="I147" s="437">
        <f t="shared" si="43"/>
        <v>0</v>
      </c>
      <c r="J147" s="54">
        <f t="shared" si="45"/>
        <v>0</v>
      </c>
      <c r="K147" s="54"/>
      <c r="L147" s="115"/>
      <c r="M147" s="54">
        <f t="shared" si="46"/>
        <v>0</v>
      </c>
      <c r="N147" s="115"/>
      <c r="O147" s="54">
        <f t="shared" si="47"/>
        <v>0</v>
      </c>
      <c r="P147" s="54">
        <f t="shared" si="48"/>
        <v>0</v>
      </c>
    </row>
    <row r="148" spans="2:16" ht="12.5">
      <c r="B148" s="7" t="str">
        <f t="shared" si="29"/>
        <v/>
      </c>
      <c r="C148" s="50">
        <f>IF(D93="","-",+C147+1)</f>
        <v>2069</v>
      </c>
      <c r="D148" s="12">
        <f>IF(F147+SUM(E$99:E147)=D$92,F147,D$92-SUM(E$99:E147))</f>
        <v>0</v>
      </c>
      <c r="E148" s="354">
        <f t="shared" si="39"/>
        <v>0</v>
      </c>
      <c r="F148" s="55">
        <f t="shared" si="40"/>
        <v>0</v>
      </c>
      <c r="G148" s="55">
        <f t="shared" si="41"/>
        <v>0</v>
      </c>
      <c r="H148" s="436">
        <f t="shared" si="42"/>
        <v>0</v>
      </c>
      <c r="I148" s="437">
        <f t="shared" si="43"/>
        <v>0</v>
      </c>
      <c r="J148" s="54">
        <f t="shared" si="45"/>
        <v>0</v>
      </c>
      <c r="K148" s="54"/>
      <c r="L148" s="115"/>
      <c r="M148" s="54">
        <f t="shared" si="46"/>
        <v>0</v>
      </c>
      <c r="N148" s="115"/>
      <c r="O148" s="54">
        <f t="shared" si="47"/>
        <v>0</v>
      </c>
      <c r="P148" s="54">
        <f t="shared" si="48"/>
        <v>0</v>
      </c>
    </row>
    <row r="149" spans="2:16" ht="12.5">
      <c r="B149" s="7" t="str">
        <f t="shared" si="29"/>
        <v/>
      </c>
      <c r="C149" s="50">
        <f>IF(D93="","-",+C148+1)</f>
        <v>2070</v>
      </c>
      <c r="D149" s="12">
        <f>IF(F148+SUM(E$99:E148)=D$92,F148,D$92-SUM(E$99:E148))</f>
        <v>0</v>
      </c>
      <c r="E149" s="354">
        <f t="shared" si="39"/>
        <v>0</v>
      </c>
      <c r="F149" s="55">
        <f t="shared" si="40"/>
        <v>0</v>
      </c>
      <c r="G149" s="55">
        <f t="shared" si="41"/>
        <v>0</v>
      </c>
      <c r="H149" s="436">
        <f t="shared" si="42"/>
        <v>0</v>
      </c>
      <c r="I149" s="437">
        <f t="shared" si="43"/>
        <v>0</v>
      </c>
      <c r="J149" s="54">
        <f t="shared" si="45"/>
        <v>0</v>
      </c>
      <c r="K149" s="54"/>
      <c r="L149" s="115"/>
      <c r="M149" s="54">
        <f t="shared" si="46"/>
        <v>0</v>
      </c>
      <c r="N149" s="115"/>
      <c r="O149" s="54">
        <f t="shared" si="47"/>
        <v>0</v>
      </c>
      <c r="P149" s="54">
        <f t="shared" si="48"/>
        <v>0</v>
      </c>
    </row>
    <row r="150" spans="2:16" ht="12.5">
      <c r="B150" s="7" t="str">
        <f t="shared" si="29"/>
        <v/>
      </c>
      <c r="C150" s="50">
        <f>IF(D93="","-",+C149+1)</f>
        <v>2071</v>
      </c>
      <c r="D150" s="12">
        <f>IF(F149+SUM(E$99:E149)=D$92,F149,D$92-SUM(E$99:E149))</f>
        <v>0</v>
      </c>
      <c r="E150" s="354">
        <f t="shared" si="39"/>
        <v>0</v>
      </c>
      <c r="F150" s="55">
        <f t="shared" si="40"/>
        <v>0</v>
      </c>
      <c r="G150" s="55">
        <f t="shared" si="41"/>
        <v>0</v>
      </c>
      <c r="H150" s="436">
        <f t="shared" si="42"/>
        <v>0</v>
      </c>
      <c r="I150" s="437">
        <f t="shared" si="43"/>
        <v>0</v>
      </c>
      <c r="J150" s="54">
        <f t="shared" si="45"/>
        <v>0</v>
      </c>
      <c r="K150" s="54"/>
      <c r="L150" s="115"/>
      <c r="M150" s="54">
        <f t="shared" si="46"/>
        <v>0</v>
      </c>
      <c r="N150" s="115"/>
      <c r="O150" s="54">
        <f t="shared" si="47"/>
        <v>0</v>
      </c>
      <c r="P150" s="54">
        <f t="shared" si="48"/>
        <v>0</v>
      </c>
    </row>
    <row r="151" spans="2:16" ht="12.5">
      <c r="B151" s="7" t="str">
        <f t="shared" si="29"/>
        <v/>
      </c>
      <c r="C151" s="50">
        <f>IF(D93="","-",+C150+1)</f>
        <v>2072</v>
      </c>
      <c r="D151" s="12">
        <f>IF(F150+SUM(E$99:E150)=D$92,F150,D$92-SUM(E$99:E150))</f>
        <v>0</v>
      </c>
      <c r="E151" s="354">
        <f t="shared" si="39"/>
        <v>0</v>
      </c>
      <c r="F151" s="55">
        <f t="shared" si="40"/>
        <v>0</v>
      </c>
      <c r="G151" s="55">
        <f t="shared" si="41"/>
        <v>0</v>
      </c>
      <c r="H151" s="436">
        <f t="shared" si="42"/>
        <v>0</v>
      </c>
      <c r="I151" s="437">
        <f t="shared" si="43"/>
        <v>0</v>
      </c>
      <c r="J151" s="54">
        <f t="shared" si="45"/>
        <v>0</v>
      </c>
      <c r="K151" s="54"/>
      <c r="L151" s="115"/>
      <c r="M151" s="54">
        <f t="shared" si="46"/>
        <v>0</v>
      </c>
      <c r="N151" s="115"/>
      <c r="O151" s="54">
        <f t="shared" si="47"/>
        <v>0</v>
      </c>
      <c r="P151" s="54">
        <f t="shared" si="48"/>
        <v>0</v>
      </c>
    </row>
    <row r="152" spans="2:16" ht="12.5">
      <c r="B152" s="7" t="str">
        <f t="shared" si="29"/>
        <v/>
      </c>
      <c r="C152" s="50">
        <f>IF(D93="","-",+C151+1)</f>
        <v>2073</v>
      </c>
      <c r="D152" s="12">
        <f>IF(F151+SUM(E$99:E151)=D$92,F151,D$92-SUM(E$99:E151))</f>
        <v>0</v>
      </c>
      <c r="E152" s="354">
        <f t="shared" si="39"/>
        <v>0</v>
      </c>
      <c r="F152" s="55">
        <f t="shared" si="40"/>
        <v>0</v>
      </c>
      <c r="G152" s="55">
        <f t="shared" si="41"/>
        <v>0</v>
      </c>
      <c r="H152" s="436">
        <f t="shared" si="42"/>
        <v>0</v>
      </c>
      <c r="I152" s="437">
        <f t="shared" si="43"/>
        <v>0</v>
      </c>
      <c r="J152" s="54">
        <f t="shared" si="45"/>
        <v>0</v>
      </c>
      <c r="K152" s="54"/>
      <c r="L152" s="115"/>
      <c r="M152" s="54">
        <f t="shared" si="46"/>
        <v>0</v>
      </c>
      <c r="N152" s="115"/>
      <c r="O152" s="54">
        <f t="shared" si="47"/>
        <v>0</v>
      </c>
      <c r="P152" s="54">
        <f t="shared" si="48"/>
        <v>0</v>
      </c>
    </row>
    <row r="153" spans="2:16" ht="12.5">
      <c r="B153" s="7" t="str">
        <f t="shared" si="29"/>
        <v/>
      </c>
      <c r="C153" s="50">
        <f>IF(D93="","-",+C152+1)</f>
        <v>2074</v>
      </c>
      <c r="D153" s="12">
        <f>IF(F152+SUM(E$99:E152)=D$92,F152,D$92-SUM(E$99:E152))</f>
        <v>0</v>
      </c>
      <c r="E153" s="354">
        <f t="shared" si="39"/>
        <v>0</v>
      </c>
      <c r="F153" s="55">
        <f t="shared" si="40"/>
        <v>0</v>
      </c>
      <c r="G153" s="55">
        <f t="shared" si="41"/>
        <v>0</v>
      </c>
      <c r="H153" s="436">
        <f t="shared" si="42"/>
        <v>0</v>
      </c>
      <c r="I153" s="437">
        <f t="shared" si="43"/>
        <v>0</v>
      </c>
      <c r="J153" s="54">
        <f t="shared" si="45"/>
        <v>0</v>
      </c>
      <c r="K153" s="54"/>
      <c r="L153" s="115"/>
      <c r="M153" s="54">
        <f t="shared" si="46"/>
        <v>0</v>
      </c>
      <c r="N153" s="115"/>
      <c r="O153" s="54">
        <f t="shared" si="47"/>
        <v>0</v>
      </c>
      <c r="P153" s="54">
        <f t="shared" si="48"/>
        <v>0</v>
      </c>
    </row>
    <row r="154" spans="2:16" ht="13" thickBot="1">
      <c r="B154" s="7" t="str">
        <f t="shared" si="29"/>
        <v/>
      </c>
      <c r="C154" s="58">
        <f>IF(D93="","-",+C153+1)</f>
        <v>2075</v>
      </c>
      <c r="D154" s="82">
        <f>IF(F153+SUM(E$99:E153)=D$92,F153,D$92-SUM(E$99:E153))</f>
        <v>0</v>
      </c>
      <c r="E154" s="357">
        <f t="shared" si="39"/>
        <v>0</v>
      </c>
      <c r="F154" s="59">
        <f t="shared" si="40"/>
        <v>0</v>
      </c>
      <c r="G154" s="59">
        <f t="shared" si="41"/>
        <v>0</v>
      </c>
      <c r="H154" s="438">
        <f t="shared" si="42"/>
        <v>0</v>
      </c>
      <c r="I154" s="439">
        <f t="shared" si="43"/>
        <v>0</v>
      </c>
      <c r="J154" s="62">
        <f t="shared" si="45"/>
        <v>0</v>
      </c>
      <c r="K154" s="54"/>
      <c r="L154" s="116"/>
      <c r="M154" s="62">
        <f t="shared" si="46"/>
        <v>0</v>
      </c>
      <c r="N154" s="116"/>
      <c r="O154" s="62">
        <f t="shared" si="47"/>
        <v>0</v>
      </c>
      <c r="P154" s="62">
        <f t="shared" si="48"/>
        <v>0</v>
      </c>
    </row>
    <row r="155" spans="2:16" ht="12.5">
      <c r="C155" s="12" t="s">
        <v>77</v>
      </c>
      <c r="D155" s="267"/>
      <c r="E155" s="267">
        <f>SUM(E99:E154)</f>
        <v>2537089</v>
      </c>
      <c r="F155" s="267"/>
      <c r="G155" s="267"/>
      <c r="H155" s="267">
        <f>SUM(H99:H154)</f>
        <v>8896462.818396071</v>
      </c>
      <c r="I155" s="267">
        <f>SUM(I99:I154)</f>
        <v>8896462.818396071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P162"/>
  <sheetViews>
    <sheetView zoomScale="80" zoomScaleNormal="80" workbookViewId="0">
      <selection activeCell="C13" sqref="C13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29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5025.8077138666322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5025.8077138666322</v>
      </c>
      <c r="O6" s="1"/>
      <c r="P6" s="1"/>
    </row>
    <row r="7" spans="1:16" ht="13.5" thickBot="1">
      <c r="C7" s="26" t="s">
        <v>46</v>
      </c>
      <c r="D7" s="440" t="s">
        <v>374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375</v>
      </c>
      <c r="E9" s="442" t="s">
        <v>376</v>
      </c>
      <c r="F9" s="32"/>
      <c r="G9" s="452" t="s">
        <v>415</v>
      </c>
      <c r="H9" s="32"/>
      <c r="I9" s="33"/>
      <c r="J9" s="34"/>
      <c r="P9" s="1"/>
    </row>
    <row r="10" spans="1:16" ht="13">
      <c r="C10" s="128" t="s">
        <v>226</v>
      </c>
      <c r="D10" s="336">
        <v>37862.589999999997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>
      <c r="C11" s="37" t="s">
        <v>53</v>
      </c>
      <c r="D11" s="38">
        <v>2022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996.38394736842099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>
      <c r="B17" s="7"/>
      <c r="C17" s="50">
        <f>IF(D11= "","-",D11)</f>
        <v>2022</v>
      </c>
      <c r="D17" s="115">
        <v>0</v>
      </c>
      <c r="E17" s="115">
        <v>0</v>
      </c>
      <c r="F17" s="115">
        <v>37862.589999999997</v>
      </c>
      <c r="G17" s="115">
        <v>2155.8294389034481</v>
      </c>
      <c r="H17" s="115">
        <v>2155.8294389034481</v>
      </c>
      <c r="I17" s="52">
        <f>H17-G17</f>
        <v>0</v>
      </c>
      <c r="J17" s="52"/>
      <c r="K17" s="117">
        <f>+G17</f>
        <v>2155.8294389034481</v>
      </c>
      <c r="L17" s="53">
        <f t="shared" ref="L17:L72" si="0">IF(K17&lt;&gt;0,+G17-K17,0)</f>
        <v>0</v>
      </c>
      <c r="M17" s="117">
        <f>+H17</f>
        <v>2155.8294389034481</v>
      </c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>
      <c r="B18" s="7" t="str">
        <f>IF(D18=F17,"","IU")</f>
        <v/>
      </c>
      <c r="C18" s="50">
        <f>IF(D11="","-",+C17+1)</f>
        <v>2023</v>
      </c>
      <c r="D18" s="115">
        <v>37862.589999999997</v>
      </c>
      <c r="E18" s="115">
        <v>1023.3132432432432</v>
      </c>
      <c r="F18" s="115">
        <v>36839.27675675675</v>
      </c>
      <c r="G18" s="115">
        <v>5276.7064605392352</v>
      </c>
      <c r="H18" s="115">
        <v>5276.7064605392352</v>
      </c>
      <c r="I18" s="52">
        <f>H18-G18</f>
        <v>0</v>
      </c>
      <c r="J18" s="52"/>
      <c r="K18" s="324">
        <f>+G18</f>
        <v>5276.7064605392352</v>
      </c>
      <c r="L18" s="54">
        <f t="shared" ref="L18" si="3">IF(K18&lt;&gt;0,+G18-K18,0)</f>
        <v>0</v>
      </c>
      <c r="M18" s="324">
        <f>+H18</f>
        <v>5276.7064605392352</v>
      </c>
      <c r="N18" s="54">
        <f t="shared" ref="N18" si="4">IF(M18&lt;&gt;0,+H18-M18,0)</f>
        <v>0</v>
      </c>
      <c r="O18" s="54">
        <f t="shared" ref="O18" si="5">+N18-L18</f>
        <v>0</v>
      </c>
      <c r="P18" s="1"/>
    </row>
    <row r="19" spans="2:16">
      <c r="B19" s="7" t="str">
        <f>IF(D19=F18,"","IU")</f>
        <v/>
      </c>
      <c r="C19" s="450">
        <f>IF(D11="","-",+C18+1)</f>
        <v>2024</v>
      </c>
      <c r="D19" s="115">
        <v>36839.27675675675</v>
      </c>
      <c r="E19" s="115">
        <v>1023.3132432432432</v>
      </c>
      <c r="F19" s="115">
        <v>35815.963513513503</v>
      </c>
      <c r="G19" s="115">
        <v>5160.1751395174269</v>
      </c>
      <c r="H19" s="115">
        <v>5160.1751395174269</v>
      </c>
      <c r="I19" s="52">
        <f t="shared" ref="I19:I20" si="6">H19-G19</f>
        <v>0</v>
      </c>
      <c r="J19" s="52"/>
      <c r="K19" s="324">
        <f>+G19</f>
        <v>5160.1751395174269</v>
      </c>
      <c r="L19" s="54">
        <f t="shared" ref="L19" si="7">IF(K19&lt;&gt;0,+G19-K19,0)</f>
        <v>0</v>
      </c>
      <c r="M19" s="324">
        <f>+H19</f>
        <v>5160.1751395174269</v>
      </c>
      <c r="N19" s="54">
        <f t="shared" ref="N19" si="8">IF(M19&lt;&gt;0,+H19-M19,0)</f>
        <v>0</v>
      </c>
      <c r="O19" s="54">
        <f t="shared" ref="O19" si="9">+N19-L19</f>
        <v>0</v>
      </c>
      <c r="P19" s="1"/>
    </row>
    <row r="20" spans="2:16" ht="13">
      <c r="B20" s="7" t="str">
        <f t="shared" ref="B20:B72" si="10">IF(D20=F19,"","IU")</f>
        <v/>
      </c>
      <c r="C20" s="449">
        <f>IF(D11="","-",+C19+1)</f>
        <v>2025</v>
      </c>
      <c r="D20" s="115">
        <v>35815.963513513503</v>
      </c>
      <c r="E20" s="115">
        <v>996.38394736842099</v>
      </c>
      <c r="F20" s="115">
        <v>34819.579566145083</v>
      </c>
      <c r="G20" s="115">
        <v>5008.7121545581331</v>
      </c>
      <c r="H20" s="115">
        <v>5008.7121545581331</v>
      </c>
      <c r="I20" s="52">
        <f t="shared" si="6"/>
        <v>0</v>
      </c>
      <c r="J20" s="52"/>
      <c r="K20" s="324">
        <f>+G20</f>
        <v>5008.7121545581331</v>
      </c>
      <c r="L20" s="54">
        <f t="shared" ref="L20" si="11">IF(K20&lt;&gt;0,+G20-K20,0)</f>
        <v>0</v>
      </c>
      <c r="M20" s="324">
        <f>+H20</f>
        <v>5008.7121545581331</v>
      </c>
      <c r="N20" s="54">
        <f t="shared" ref="N20" si="12">IF(M20&lt;&gt;0,+H20-M20,0)</f>
        <v>0</v>
      </c>
      <c r="O20" s="54">
        <f t="shared" ref="O20" si="13">+N20-L20</f>
        <v>0</v>
      </c>
      <c r="P20" s="1"/>
    </row>
    <row r="21" spans="2:16">
      <c r="B21" s="7" t="str">
        <f t="shared" si="10"/>
        <v/>
      </c>
      <c r="C21" s="50">
        <f>IF(D11="","-",+C20+1)</f>
        <v>2026</v>
      </c>
      <c r="D21" s="55">
        <f>IF(F20+SUM(E$17:E20)=D$10,F20,D$10-SUM(E$17:E20))</f>
        <v>34819.579566145083</v>
      </c>
      <c r="E21" s="56">
        <f t="shared" ref="E21:E71" si="14">IF(+I$14&lt;F20,I$14,D21)</f>
        <v>996.38394736842099</v>
      </c>
      <c r="F21" s="55">
        <f t="shared" ref="F21:F71" si="15">+D21-E21</f>
        <v>33823.195618776663</v>
      </c>
      <c r="G21" s="57">
        <f t="shared" ref="G21:G71" si="16">(D21+F21)/2*I$12+E21</f>
        <v>5025.8077138666322</v>
      </c>
      <c r="H21" s="42">
        <f t="shared" ref="H21:H71" si="17">+(D21+F21)/2*I$13+E21</f>
        <v>5025.8077138666322</v>
      </c>
      <c r="I21" s="52">
        <f t="shared" ref="I21:I71" si="18">H21-G21</f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>
      <c r="B22" s="7" t="str">
        <f t="shared" si="10"/>
        <v/>
      </c>
      <c r="C22" s="50">
        <f>IF(D11="","-",+C21+1)</f>
        <v>2027</v>
      </c>
      <c r="D22" s="55">
        <f>IF(F21+SUM(E$17:E21)=D$10,F21,D$10-SUM(E$17:E21))</f>
        <v>33823.195618776663</v>
      </c>
      <c r="E22" s="56">
        <f t="shared" si="14"/>
        <v>996.38394736842099</v>
      </c>
      <c r="F22" s="55">
        <f t="shared" si="15"/>
        <v>32826.811671408243</v>
      </c>
      <c r="G22" s="57">
        <f t="shared" si="16"/>
        <v>4908.8295425363585</v>
      </c>
      <c r="H22" s="42">
        <f t="shared" si="17"/>
        <v>4908.8295425363585</v>
      </c>
      <c r="I22" s="52">
        <f t="shared" si="18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>
      <c r="B23" s="7" t="str">
        <f t="shared" si="10"/>
        <v/>
      </c>
      <c r="C23" s="50">
        <f>IF(D11="","-",+C22+1)</f>
        <v>2028</v>
      </c>
      <c r="D23" s="55">
        <f>IF(F22+SUM(E$17:E22)=D$10,F22,D$10-SUM(E$17:E22))</f>
        <v>32826.811671408243</v>
      </c>
      <c r="E23" s="56">
        <f t="shared" si="14"/>
        <v>996.38394736842099</v>
      </c>
      <c r="F23" s="55">
        <f t="shared" si="15"/>
        <v>31830.427724039822</v>
      </c>
      <c r="G23" s="57">
        <f t="shared" si="16"/>
        <v>4791.8513712060849</v>
      </c>
      <c r="H23" s="42">
        <f t="shared" si="17"/>
        <v>4791.8513712060849</v>
      </c>
      <c r="I23" s="52">
        <f t="shared" si="18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>
      <c r="B24" s="7" t="str">
        <f t="shared" si="10"/>
        <v/>
      </c>
      <c r="C24" s="50">
        <f>IF(D11="","-",+C23+1)</f>
        <v>2029</v>
      </c>
      <c r="D24" s="55">
        <f>IF(F23+SUM(E$17:E23)=D$10,F23,D$10-SUM(E$17:E23))</f>
        <v>31830.427724039822</v>
      </c>
      <c r="E24" s="56">
        <f t="shared" si="14"/>
        <v>996.38394736842099</v>
      </c>
      <c r="F24" s="55">
        <f t="shared" si="15"/>
        <v>30834.043776671402</v>
      </c>
      <c r="G24" s="57">
        <f t="shared" si="16"/>
        <v>4674.8731998758121</v>
      </c>
      <c r="H24" s="42">
        <f t="shared" si="17"/>
        <v>4674.8731998758121</v>
      </c>
      <c r="I24" s="52">
        <f t="shared" si="18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>
      <c r="B25" s="7" t="str">
        <f t="shared" si="10"/>
        <v/>
      </c>
      <c r="C25" s="50">
        <f>IF(D11="","-",+C24+1)</f>
        <v>2030</v>
      </c>
      <c r="D25" s="55">
        <f>IF(F24+SUM(E$17:E24)=D$10,F24,D$10-SUM(E$17:E24))</f>
        <v>30834.043776671402</v>
      </c>
      <c r="E25" s="56">
        <f t="shared" si="14"/>
        <v>996.38394736842099</v>
      </c>
      <c r="F25" s="55">
        <f t="shared" si="15"/>
        <v>29837.659829302982</v>
      </c>
      <c r="G25" s="57">
        <f t="shared" si="16"/>
        <v>4557.8950285455385</v>
      </c>
      <c r="H25" s="42">
        <f t="shared" si="17"/>
        <v>4557.8950285455385</v>
      </c>
      <c r="I25" s="52">
        <f t="shared" si="18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>
      <c r="B26" s="7" t="str">
        <f t="shared" si="10"/>
        <v/>
      </c>
      <c r="C26" s="50">
        <f>IF(D11="","-",+C25+1)</f>
        <v>2031</v>
      </c>
      <c r="D26" s="55">
        <f>IF(F25+SUM(E$17:E25)=D$10,F25,D$10-SUM(E$17:E25))</f>
        <v>29837.659829302982</v>
      </c>
      <c r="E26" s="56">
        <f t="shared" si="14"/>
        <v>996.38394736842099</v>
      </c>
      <c r="F26" s="55">
        <f t="shared" si="15"/>
        <v>28841.275881934562</v>
      </c>
      <c r="G26" s="57">
        <f t="shared" si="16"/>
        <v>4440.9168572152648</v>
      </c>
      <c r="H26" s="42">
        <f t="shared" si="17"/>
        <v>4440.9168572152648</v>
      </c>
      <c r="I26" s="52">
        <f t="shared" si="18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>
      <c r="B27" s="7" t="str">
        <f t="shared" si="10"/>
        <v/>
      </c>
      <c r="C27" s="50">
        <f>IF(D11="","-",+C26+1)</f>
        <v>2032</v>
      </c>
      <c r="D27" s="55">
        <f>IF(F26+SUM(E$17:E26)=D$10,F26,D$10-SUM(E$17:E26))</f>
        <v>28841.275881934562</v>
      </c>
      <c r="E27" s="56">
        <f t="shared" si="14"/>
        <v>996.38394736842099</v>
      </c>
      <c r="F27" s="55">
        <f t="shared" si="15"/>
        <v>27844.891934566142</v>
      </c>
      <c r="G27" s="57">
        <f t="shared" si="16"/>
        <v>4323.9386858849912</v>
      </c>
      <c r="H27" s="42">
        <f t="shared" si="17"/>
        <v>4323.9386858849912</v>
      </c>
      <c r="I27" s="52">
        <f t="shared" si="18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10"/>
        <v/>
      </c>
      <c r="C28" s="50">
        <f>IF(D11="","-",+C27+1)</f>
        <v>2033</v>
      </c>
      <c r="D28" s="55">
        <f>IF(F27+SUM(E$17:E27)=D$10,F27,D$10-SUM(E$17:E27))</f>
        <v>27844.891934566142</v>
      </c>
      <c r="E28" s="56">
        <f t="shared" si="14"/>
        <v>996.38394736842099</v>
      </c>
      <c r="F28" s="55">
        <f t="shared" si="15"/>
        <v>26848.507987197721</v>
      </c>
      <c r="G28" s="57">
        <f t="shared" si="16"/>
        <v>4206.9605145547175</v>
      </c>
      <c r="H28" s="42">
        <f t="shared" si="17"/>
        <v>4206.9605145547175</v>
      </c>
      <c r="I28" s="52">
        <f t="shared" si="18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10"/>
        <v/>
      </c>
      <c r="C29" s="50">
        <f>IF(D11="","-",+C28+1)</f>
        <v>2034</v>
      </c>
      <c r="D29" s="55">
        <f>IF(F28+SUM(E$17:E28)=D$10,F28,D$10-SUM(E$17:E28))</f>
        <v>26848.507987197721</v>
      </c>
      <c r="E29" s="56">
        <f t="shared" si="14"/>
        <v>996.38394736842099</v>
      </c>
      <c r="F29" s="55">
        <f t="shared" si="15"/>
        <v>25852.124039829301</v>
      </c>
      <c r="G29" s="57">
        <f t="shared" si="16"/>
        <v>4089.9823432244439</v>
      </c>
      <c r="H29" s="42">
        <f t="shared" si="17"/>
        <v>4089.9823432244439</v>
      </c>
      <c r="I29" s="52">
        <f t="shared" si="18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10"/>
        <v/>
      </c>
      <c r="C30" s="50">
        <f>IF(D11="","-",+C29+1)</f>
        <v>2035</v>
      </c>
      <c r="D30" s="55">
        <f>IF(F29+SUM(E$17:E29)=D$10,F29,D$10-SUM(E$17:E29))</f>
        <v>25852.124039829301</v>
      </c>
      <c r="E30" s="56">
        <f t="shared" si="14"/>
        <v>996.38394736842099</v>
      </c>
      <c r="F30" s="55">
        <f t="shared" si="15"/>
        <v>24855.740092460881</v>
      </c>
      <c r="G30" s="57">
        <f t="shared" si="16"/>
        <v>3973.0041718941702</v>
      </c>
      <c r="H30" s="42">
        <f t="shared" si="17"/>
        <v>3973.0041718941702</v>
      </c>
      <c r="I30" s="52">
        <f t="shared" si="18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>
      <c r="B31" s="7" t="str">
        <f t="shared" si="10"/>
        <v/>
      </c>
      <c r="C31" s="50">
        <f>IF(D11="","-",+C30+1)</f>
        <v>2036</v>
      </c>
      <c r="D31" s="55">
        <f>IF(F30+SUM(E$17:E30)=D$10,F30,D$10-SUM(E$17:E30))</f>
        <v>24855.740092460881</v>
      </c>
      <c r="E31" s="56">
        <f t="shared" si="14"/>
        <v>996.38394736842099</v>
      </c>
      <c r="F31" s="55">
        <f t="shared" si="15"/>
        <v>23859.356145092461</v>
      </c>
      <c r="G31" s="57">
        <f t="shared" si="16"/>
        <v>3856.0260005638966</v>
      </c>
      <c r="H31" s="42">
        <f t="shared" si="17"/>
        <v>3856.0260005638966</v>
      </c>
      <c r="I31" s="52">
        <f t="shared" si="18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>
      <c r="B32" s="7" t="str">
        <f t="shared" si="10"/>
        <v/>
      </c>
      <c r="C32" s="50">
        <f>IF(D11="","-",+C31+1)</f>
        <v>2037</v>
      </c>
      <c r="D32" s="55">
        <f>IF(F31+SUM(E$17:E31)=D$10,F31,D$10-SUM(E$17:E31))</f>
        <v>23859.356145092461</v>
      </c>
      <c r="E32" s="56">
        <f t="shared" si="14"/>
        <v>996.38394736842099</v>
      </c>
      <c r="F32" s="55">
        <f t="shared" si="15"/>
        <v>22862.972197724041</v>
      </c>
      <c r="G32" s="57">
        <f t="shared" si="16"/>
        <v>3739.0478292336229</v>
      </c>
      <c r="H32" s="42">
        <f t="shared" si="17"/>
        <v>3739.0478292336229</v>
      </c>
      <c r="I32" s="52">
        <f t="shared" si="18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>
      <c r="B33" s="7" t="str">
        <f t="shared" si="10"/>
        <v/>
      </c>
      <c r="C33" s="50">
        <f>IF(D11="","-",+C32+1)</f>
        <v>2038</v>
      </c>
      <c r="D33" s="55">
        <f>IF(F32+SUM(E$17:E32)=D$10,F32,D$10-SUM(E$17:E32))</f>
        <v>22862.972197724041</v>
      </c>
      <c r="E33" s="56">
        <f t="shared" si="14"/>
        <v>996.38394736842099</v>
      </c>
      <c r="F33" s="55">
        <f t="shared" si="15"/>
        <v>21866.58825035562</v>
      </c>
      <c r="G33" s="57">
        <f t="shared" si="16"/>
        <v>3622.0696579033493</v>
      </c>
      <c r="H33" s="42">
        <f t="shared" si="17"/>
        <v>3622.0696579033493</v>
      </c>
      <c r="I33" s="52">
        <f t="shared" si="18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>
      <c r="B34" s="7" t="str">
        <f t="shared" si="10"/>
        <v/>
      </c>
      <c r="C34" s="50">
        <f>IF(D11="","-",+C33+1)</f>
        <v>2039</v>
      </c>
      <c r="D34" s="55">
        <f>IF(F33+SUM(E$17:E33)=D$10,F33,D$10-SUM(E$17:E33))</f>
        <v>21866.58825035562</v>
      </c>
      <c r="E34" s="56">
        <f t="shared" si="14"/>
        <v>996.38394736842099</v>
      </c>
      <c r="F34" s="55">
        <f t="shared" si="15"/>
        <v>20870.2043029872</v>
      </c>
      <c r="G34" s="57">
        <f t="shared" si="16"/>
        <v>3505.0914865730756</v>
      </c>
      <c r="H34" s="42">
        <f t="shared" si="17"/>
        <v>3505.0914865730756</v>
      </c>
      <c r="I34" s="52">
        <f t="shared" si="18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10"/>
        <v/>
      </c>
      <c r="C35" s="50">
        <f>IF(D11="","-",+C34+1)</f>
        <v>2040</v>
      </c>
      <c r="D35" s="55">
        <f>IF(F34+SUM(E$17:E34)=D$10,F34,D$10-SUM(E$17:E34))</f>
        <v>20870.2043029872</v>
      </c>
      <c r="E35" s="56">
        <f t="shared" si="14"/>
        <v>996.38394736842099</v>
      </c>
      <c r="F35" s="55">
        <f t="shared" si="15"/>
        <v>19873.82035561878</v>
      </c>
      <c r="G35" s="57">
        <f t="shared" si="16"/>
        <v>3388.1133152428019</v>
      </c>
      <c r="H35" s="42">
        <f t="shared" si="17"/>
        <v>3388.1133152428019</v>
      </c>
      <c r="I35" s="52">
        <f t="shared" si="18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10"/>
        <v/>
      </c>
      <c r="C36" s="50">
        <f>IF(D11="","-",+C35+1)</f>
        <v>2041</v>
      </c>
      <c r="D36" s="55">
        <f>IF(F35+SUM(E$17:E35)=D$10,F35,D$10-SUM(E$17:E35))</f>
        <v>19873.82035561878</v>
      </c>
      <c r="E36" s="56">
        <f t="shared" si="14"/>
        <v>996.38394736842099</v>
      </c>
      <c r="F36" s="55">
        <f t="shared" si="15"/>
        <v>18877.43640825036</v>
      </c>
      <c r="G36" s="57">
        <f t="shared" si="16"/>
        <v>3271.1351439125283</v>
      </c>
      <c r="H36" s="42">
        <f t="shared" si="17"/>
        <v>3271.1351439125283</v>
      </c>
      <c r="I36" s="52">
        <f t="shared" si="18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10"/>
        <v/>
      </c>
      <c r="C37" s="50">
        <f>IF(D11="","-",+C36+1)</f>
        <v>2042</v>
      </c>
      <c r="D37" s="55">
        <f>IF(F36+SUM(E$17:E36)=D$10,F36,D$10-SUM(E$17:E36))</f>
        <v>18877.43640825036</v>
      </c>
      <c r="E37" s="56">
        <f t="shared" si="14"/>
        <v>996.38394736842099</v>
      </c>
      <c r="F37" s="55">
        <f t="shared" si="15"/>
        <v>17881.05246088194</v>
      </c>
      <c r="G37" s="57">
        <f t="shared" si="16"/>
        <v>3154.1569725822546</v>
      </c>
      <c r="H37" s="42">
        <f t="shared" si="17"/>
        <v>3154.1569725822546</v>
      </c>
      <c r="I37" s="52">
        <f t="shared" si="18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10"/>
        <v/>
      </c>
      <c r="C38" s="50">
        <f>IF(D11="","-",+C37+1)</f>
        <v>2043</v>
      </c>
      <c r="D38" s="55">
        <f>IF(F37+SUM(E$17:E37)=D$10,F37,D$10-SUM(E$17:E37))</f>
        <v>17881.05246088194</v>
      </c>
      <c r="E38" s="56">
        <f t="shared" si="14"/>
        <v>996.38394736842099</v>
      </c>
      <c r="F38" s="55">
        <f t="shared" si="15"/>
        <v>16884.668513513519</v>
      </c>
      <c r="G38" s="57">
        <f t="shared" si="16"/>
        <v>3037.178801251981</v>
      </c>
      <c r="H38" s="42">
        <f t="shared" si="17"/>
        <v>3037.178801251981</v>
      </c>
      <c r="I38" s="52">
        <f t="shared" si="18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10"/>
        <v/>
      </c>
      <c r="C39" s="50">
        <f>IF(D11="","-",+C38+1)</f>
        <v>2044</v>
      </c>
      <c r="D39" s="55">
        <f>IF(F38+SUM(E$17:E38)=D$10,F38,D$10-SUM(E$17:E38))</f>
        <v>16884.668513513519</v>
      </c>
      <c r="E39" s="56">
        <f t="shared" si="14"/>
        <v>996.38394736842099</v>
      </c>
      <c r="F39" s="55">
        <f t="shared" si="15"/>
        <v>15888.284566145099</v>
      </c>
      <c r="G39" s="57">
        <f t="shared" si="16"/>
        <v>2920.2006299217073</v>
      </c>
      <c r="H39" s="42">
        <f t="shared" si="17"/>
        <v>2920.2006299217073</v>
      </c>
      <c r="I39" s="52">
        <f t="shared" si="18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10"/>
        <v/>
      </c>
      <c r="C40" s="50">
        <f>IF(D11="","-",+C39+1)</f>
        <v>2045</v>
      </c>
      <c r="D40" s="55">
        <f>IF(F39+SUM(E$17:E39)=D$10,F39,D$10-SUM(E$17:E39))</f>
        <v>15888.284566145099</v>
      </c>
      <c r="E40" s="56">
        <f t="shared" si="14"/>
        <v>996.38394736842099</v>
      </c>
      <c r="F40" s="55">
        <f t="shared" si="15"/>
        <v>14891.900618776679</v>
      </c>
      <c r="G40" s="57">
        <f t="shared" si="16"/>
        <v>2803.2224585914337</v>
      </c>
      <c r="H40" s="42">
        <f t="shared" si="17"/>
        <v>2803.2224585914337</v>
      </c>
      <c r="I40" s="52">
        <f t="shared" si="18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10"/>
        <v/>
      </c>
      <c r="C41" s="50">
        <f>IF(D11="","-",+C40+1)</f>
        <v>2046</v>
      </c>
      <c r="D41" s="55">
        <f>IF(F40+SUM(E$17:E40)=D$10,F40,D$10-SUM(E$17:E40))</f>
        <v>14891.900618776679</v>
      </c>
      <c r="E41" s="56">
        <f t="shared" si="14"/>
        <v>996.38394736842099</v>
      </c>
      <c r="F41" s="55">
        <f t="shared" si="15"/>
        <v>13895.516671408259</v>
      </c>
      <c r="G41" s="57">
        <f t="shared" si="16"/>
        <v>2686.24428726116</v>
      </c>
      <c r="H41" s="42">
        <f t="shared" si="17"/>
        <v>2686.24428726116</v>
      </c>
      <c r="I41" s="52">
        <f t="shared" si="18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10"/>
        <v/>
      </c>
      <c r="C42" s="50">
        <f>IF(D11="","-",+C41+1)</f>
        <v>2047</v>
      </c>
      <c r="D42" s="55">
        <f>IF(F41+SUM(E$17:E41)=D$10,F41,D$10-SUM(E$17:E41))</f>
        <v>13895.516671408259</v>
      </c>
      <c r="E42" s="56">
        <f t="shared" si="14"/>
        <v>996.38394736842099</v>
      </c>
      <c r="F42" s="55">
        <f t="shared" si="15"/>
        <v>12899.132724039839</v>
      </c>
      <c r="G42" s="57">
        <f t="shared" si="16"/>
        <v>2569.2661159308864</v>
      </c>
      <c r="H42" s="42">
        <f t="shared" si="17"/>
        <v>2569.2661159308864</v>
      </c>
      <c r="I42" s="52">
        <f t="shared" si="18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10"/>
        <v/>
      </c>
      <c r="C43" s="50">
        <f>IF(D11="","-",+C42+1)</f>
        <v>2048</v>
      </c>
      <c r="D43" s="55">
        <f>IF(F42+SUM(E$17:E42)=D$10,F42,D$10-SUM(E$17:E42))</f>
        <v>12899.132724039839</v>
      </c>
      <c r="E43" s="56">
        <f t="shared" si="14"/>
        <v>996.38394736842099</v>
      </c>
      <c r="F43" s="55">
        <f t="shared" si="15"/>
        <v>11902.748776671418</v>
      </c>
      <c r="G43" s="57">
        <f t="shared" si="16"/>
        <v>2452.2879446006127</v>
      </c>
      <c r="H43" s="42">
        <f t="shared" si="17"/>
        <v>2452.2879446006127</v>
      </c>
      <c r="I43" s="52">
        <f t="shared" si="18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10"/>
        <v/>
      </c>
      <c r="C44" s="50">
        <f>IF(D11="","-",+C43+1)</f>
        <v>2049</v>
      </c>
      <c r="D44" s="55">
        <f>IF(F43+SUM(E$17:E43)=D$10,F43,D$10-SUM(E$17:E43))</f>
        <v>11902.748776671418</v>
      </c>
      <c r="E44" s="56">
        <f t="shared" si="14"/>
        <v>996.38394736842099</v>
      </c>
      <c r="F44" s="55">
        <f t="shared" si="15"/>
        <v>10906.364829302998</v>
      </c>
      <c r="G44" s="57">
        <f t="shared" si="16"/>
        <v>2335.3097732703391</v>
      </c>
      <c r="H44" s="42">
        <f t="shared" si="17"/>
        <v>2335.3097732703391</v>
      </c>
      <c r="I44" s="52">
        <f t="shared" si="18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10"/>
        <v/>
      </c>
      <c r="C45" s="50">
        <f>IF(D11="","-",+C44+1)</f>
        <v>2050</v>
      </c>
      <c r="D45" s="55">
        <f>IF(F44+SUM(E$17:E44)=D$10,F44,D$10-SUM(E$17:E44))</f>
        <v>10906.364829302998</v>
      </c>
      <c r="E45" s="56">
        <f t="shared" si="14"/>
        <v>996.38394736842099</v>
      </c>
      <c r="F45" s="55">
        <f t="shared" si="15"/>
        <v>9909.9808819345781</v>
      </c>
      <c r="G45" s="57">
        <f t="shared" si="16"/>
        <v>2218.3316019400654</v>
      </c>
      <c r="H45" s="42">
        <f t="shared" si="17"/>
        <v>2218.3316019400654</v>
      </c>
      <c r="I45" s="52">
        <f t="shared" si="18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10"/>
        <v/>
      </c>
      <c r="C46" s="50">
        <f>IF(D11="","-",+C45+1)</f>
        <v>2051</v>
      </c>
      <c r="D46" s="55">
        <f>IF(F45+SUM(E$17:E45)=D$10,F45,D$10-SUM(E$17:E45))</f>
        <v>9909.9808819345781</v>
      </c>
      <c r="E46" s="56">
        <f t="shared" si="14"/>
        <v>996.38394736842099</v>
      </c>
      <c r="F46" s="55">
        <f t="shared" si="15"/>
        <v>8913.5969345661579</v>
      </c>
      <c r="G46" s="57">
        <f t="shared" si="16"/>
        <v>2101.3534306097918</v>
      </c>
      <c r="H46" s="42">
        <f t="shared" si="17"/>
        <v>2101.3534306097918</v>
      </c>
      <c r="I46" s="52">
        <f t="shared" si="18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10"/>
        <v/>
      </c>
      <c r="C47" s="50">
        <f>IF(D11="","-",+C46+1)</f>
        <v>2052</v>
      </c>
      <c r="D47" s="55">
        <f>IF(F46+SUM(E$17:E46)=D$10,F46,D$10-SUM(E$17:E46))</f>
        <v>8913.5969345661579</v>
      </c>
      <c r="E47" s="56">
        <f t="shared" si="14"/>
        <v>996.38394736842099</v>
      </c>
      <c r="F47" s="55">
        <f t="shared" si="15"/>
        <v>7917.2129871977368</v>
      </c>
      <c r="G47" s="57">
        <f t="shared" si="16"/>
        <v>1984.3752592795181</v>
      </c>
      <c r="H47" s="42">
        <f t="shared" si="17"/>
        <v>1984.3752592795181</v>
      </c>
      <c r="I47" s="52">
        <f t="shared" si="18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10"/>
        <v/>
      </c>
      <c r="C48" s="50">
        <f>IF(D11="","-",+C47+1)</f>
        <v>2053</v>
      </c>
      <c r="D48" s="55">
        <f>IF(F47+SUM(E$17:E47)=D$10,F47,D$10-SUM(E$17:E47))</f>
        <v>7917.2129871977368</v>
      </c>
      <c r="E48" s="56">
        <f t="shared" si="14"/>
        <v>996.38394736842099</v>
      </c>
      <c r="F48" s="55">
        <f t="shared" si="15"/>
        <v>6920.8290398293157</v>
      </c>
      <c r="G48" s="57">
        <f t="shared" si="16"/>
        <v>1867.3970879492445</v>
      </c>
      <c r="H48" s="42">
        <f t="shared" si="17"/>
        <v>1867.3970879492445</v>
      </c>
      <c r="I48" s="52">
        <f t="shared" si="18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>
      <c r="B49" s="7" t="str">
        <f t="shared" si="10"/>
        <v/>
      </c>
      <c r="C49" s="50">
        <f>IF(D11="","-",+C48+1)</f>
        <v>2054</v>
      </c>
      <c r="D49" s="55">
        <f>IF(F48+SUM(E$17:E48)=D$10,F48,D$10-SUM(E$17:E48))</f>
        <v>6920.8290398293157</v>
      </c>
      <c r="E49" s="56">
        <f t="shared" si="14"/>
        <v>996.38394736842099</v>
      </c>
      <c r="F49" s="55">
        <f t="shared" si="15"/>
        <v>5924.4450924608946</v>
      </c>
      <c r="G49" s="57">
        <f t="shared" si="16"/>
        <v>1750.4189166189708</v>
      </c>
      <c r="H49" s="42">
        <f t="shared" si="17"/>
        <v>1750.4189166189708</v>
      </c>
      <c r="I49" s="52">
        <f t="shared" si="18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>
      <c r="B50" s="7" t="str">
        <f t="shared" si="10"/>
        <v/>
      </c>
      <c r="C50" s="50">
        <f>IF(D11="","-",+C49+1)</f>
        <v>2055</v>
      </c>
      <c r="D50" s="55">
        <f>IF(F49+SUM(E$17:E49)=D$10,F49,D$10-SUM(E$17:E49))</f>
        <v>5924.4450924608946</v>
      </c>
      <c r="E50" s="56">
        <f t="shared" si="14"/>
        <v>996.38394736842099</v>
      </c>
      <c r="F50" s="55">
        <f t="shared" si="15"/>
        <v>4928.0611450924735</v>
      </c>
      <c r="G50" s="57">
        <f t="shared" si="16"/>
        <v>1633.4407452886969</v>
      </c>
      <c r="H50" s="42">
        <f t="shared" si="17"/>
        <v>1633.4407452886969</v>
      </c>
      <c r="I50" s="52">
        <f t="shared" si="18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>
      <c r="B51" s="7" t="str">
        <f t="shared" si="10"/>
        <v/>
      </c>
      <c r="C51" s="50">
        <f>IF(D11="","-",+C50+1)</f>
        <v>2056</v>
      </c>
      <c r="D51" s="55">
        <f>IF(F50+SUM(E$17:E50)=D$10,F50,D$10-SUM(E$17:E50))</f>
        <v>4928.0611450924735</v>
      </c>
      <c r="E51" s="56">
        <f t="shared" si="14"/>
        <v>996.38394736842099</v>
      </c>
      <c r="F51" s="55">
        <f t="shared" si="15"/>
        <v>3931.6771977240523</v>
      </c>
      <c r="G51" s="57">
        <f t="shared" si="16"/>
        <v>1516.4625739584233</v>
      </c>
      <c r="H51" s="42">
        <f t="shared" si="17"/>
        <v>1516.4625739584233</v>
      </c>
      <c r="I51" s="52">
        <f t="shared" si="18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>
      <c r="B52" s="7" t="str">
        <f t="shared" si="10"/>
        <v/>
      </c>
      <c r="C52" s="50">
        <f>IF(D11="","-",+C51+1)</f>
        <v>2057</v>
      </c>
      <c r="D52" s="55">
        <f>IF(F51+SUM(E$17:E51)=D$10,F51,D$10-SUM(E$17:E51))</f>
        <v>3931.6771977240523</v>
      </c>
      <c r="E52" s="56">
        <f t="shared" si="14"/>
        <v>996.38394736842099</v>
      </c>
      <c r="F52" s="55">
        <f t="shared" si="15"/>
        <v>2935.2932503556312</v>
      </c>
      <c r="G52" s="57">
        <f t="shared" si="16"/>
        <v>1399.4844026281494</v>
      </c>
      <c r="H52" s="42">
        <f t="shared" si="17"/>
        <v>1399.4844026281494</v>
      </c>
      <c r="I52" s="52">
        <f t="shared" si="18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>
      <c r="B53" s="7" t="str">
        <f t="shared" si="10"/>
        <v/>
      </c>
      <c r="C53" s="50">
        <f>IF(D11="","-",+C52+1)</f>
        <v>2058</v>
      </c>
      <c r="D53" s="55">
        <f>IF(F52+SUM(E$17:E52)=D$10,F52,D$10-SUM(E$17:E52))</f>
        <v>2935.2932503556312</v>
      </c>
      <c r="E53" s="56">
        <f t="shared" si="14"/>
        <v>996.38394736842099</v>
      </c>
      <c r="F53" s="55">
        <f t="shared" si="15"/>
        <v>1938.9093029872101</v>
      </c>
      <c r="G53" s="57">
        <f t="shared" si="16"/>
        <v>1282.5062312978757</v>
      </c>
      <c r="H53" s="42">
        <f t="shared" si="17"/>
        <v>1282.5062312978757</v>
      </c>
      <c r="I53" s="52">
        <f t="shared" si="18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>
      <c r="B54" s="7" t="str">
        <f t="shared" si="10"/>
        <v/>
      </c>
      <c r="C54" s="50">
        <f>IF(D11="","-",+C53+1)</f>
        <v>2059</v>
      </c>
      <c r="D54" s="55">
        <f>IF(F53+SUM(E$17:E53)=D$10,F53,D$10-SUM(E$17:E53))</f>
        <v>1938.9093029872101</v>
      </c>
      <c r="E54" s="56">
        <f t="shared" si="14"/>
        <v>996.38394736842099</v>
      </c>
      <c r="F54" s="55">
        <f t="shared" si="15"/>
        <v>942.52535561878915</v>
      </c>
      <c r="G54" s="57">
        <f t="shared" si="16"/>
        <v>1165.5280599676021</v>
      </c>
      <c r="H54" s="42">
        <f t="shared" si="17"/>
        <v>1165.5280599676021</v>
      </c>
      <c r="I54" s="52">
        <f t="shared" si="18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>
      <c r="B55" s="7" t="str">
        <f t="shared" si="10"/>
        <v/>
      </c>
      <c r="C55" s="50">
        <f>IF(D11="","-",+C54+1)</f>
        <v>2060</v>
      </c>
      <c r="D55" s="55">
        <f>IF(F54+SUM(E$17:E54)=D$10,F54,D$10-SUM(E$17:E54))</f>
        <v>942.52535561878915</v>
      </c>
      <c r="E55" s="56">
        <f t="shared" si="14"/>
        <v>942.52535561878915</v>
      </c>
      <c r="F55" s="55">
        <f t="shared" si="15"/>
        <v>0</v>
      </c>
      <c r="G55" s="57">
        <f t="shared" si="16"/>
        <v>997.85286908581122</v>
      </c>
      <c r="H55" s="42">
        <f t="shared" si="17"/>
        <v>997.85286908581122</v>
      </c>
      <c r="I55" s="52">
        <f t="shared" si="18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>
      <c r="B56" s="7" t="str">
        <f t="shared" si="10"/>
        <v/>
      </c>
      <c r="C56" s="50">
        <f>IF(D11="","-",+C55+1)</f>
        <v>2061</v>
      </c>
      <c r="D56" s="55">
        <f>IF(F55+SUM(E$17:E55)=D$10,F55,D$10-SUM(E$17:E55))</f>
        <v>0</v>
      </c>
      <c r="E56" s="56">
        <f t="shared" si="14"/>
        <v>0</v>
      </c>
      <c r="F56" s="55">
        <f t="shared" si="15"/>
        <v>0</v>
      </c>
      <c r="G56" s="57">
        <f t="shared" si="16"/>
        <v>0</v>
      </c>
      <c r="H56" s="42">
        <f t="shared" si="17"/>
        <v>0</v>
      </c>
      <c r="I56" s="52">
        <f t="shared" si="18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>
      <c r="B57" s="7" t="str">
        <f t="shared" si="10"/>
        <v/>
      </c>
      <c r="C57" s="50">
        <f>IF(D11="","-",+C56+1)</f>
        <v>2062</v>
      </c>
      <c r="D57" s="55">
        <f>IF(F56+SUM(E$17:E56)=D$10,F56,D$10-SUM(E$17:E56))</f>
        <v>0</v>
      </c>
      <c r="E57" s="56">
        <f t="shared" si="14"/>
        <v>0</v>
      </c>
      <c r="F57" s="55">
        <f t="shared" si="15"/>
        <v>0</v>
      </c>
      <c r="G57" s="57">
        <f t="shared" si="16"/>
        <v>0</v>
      </c>
      <c r="H57" s="42">
        <f t="shared" si="17"/>
        <v>0</v>
      </c>
      <c r="I57" s="52">
        <f t="shared" si="18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>
      <c r="B58" s="7" t="str">
        <f t="shared" si="10"/>
        <v/>
      </c>
      <c r="C58" s="50">
        <f>IF(D11="","-",+C57+1)</f>
        <v>2063</v>
      </c>
      <c r="D58" s="55">
        <f>IF(F57+SUM(E$17:E57)=D$10,F57,D$10-SUM(E$17:E57))</f>
        <v>0</v>
      </c>
      <c r="E58" s="56">
        <f t="shared" si="14"/>
        <v>0</v>
      </c>
      <c r="F58" s="55">
        <f t="shared" si="15"/>
        <v>0</v>
      </c>
      <c r="G58" s="57">
        <f t="shared" si="16"/>
        <v>0</v>
      </c>
      <c r="H58" s="42">
        <f t="shared" si="17"/>
        <v>0</v>
      </c>
      <c r="I58" s="52">
        <f t="shared" si="18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>
      <c r="B59" s="7" t="str">
        <f t="shared" si="10"/>
        <v/>
      </c>
      <c r="C59" s="50">
        <f>IF(D11="","-",+C58+1)</f>
        <v>2064</v>
      </c>
      <c r="D59" s="55">
        <f>IF(F58+SUM(E$17:E58)=D$10,F58,D$10-SUM(E$17:E58))</f>
        <v>0</v>
      </c>
      <c r="E59" s="56">
        <f t="shared" si="14"/>
        <v>0</v>
      </c>
      <c r="F59" s="55">
        <f t="shared" si="15"/>
        <v>0</v>
      </c>
      <c r="G59" s="57">
        <f t="shared" si="16"/>
        <v>0</v>
      </c>
      <c r="H59" s="42">
        <f t="shared" si="17"/>
        <v>0</v>
      </c>
      <c r="I59" s="52">
        <f t="shared" si="18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>
      <c r="B60" s="7" t="str">
        <f t="shared" si="10"/>
        <v/>
      </c>
      <c r="C60" s="50">
        <f>IF(D11="","-",+C59+1)</f>
        <v>2065</v>
      </c>
      <c r="D60" s="55">
        <f>IF(F59+SUM(E$17:E59)=D$10,F59,D$10-SUM(E$17:E59))</f>
        <v>0</v>
      </c>
      <c r="E60" s="56">
        <f t="shared" si="14"/>
        <v>0</v>
      </c>
      <c r="F60" s="55">
        <f t="shared" si="15"/>
        <v>0</v>
      </c>
      <c r="G60" s="57">
        <f t="shared" si="16"/>
        <v>0</v>
      </c>
      <c r="H60" s="42">
        <f t="shared" si="17"/>
        <v>0</v>
      </c>
      <c r="I60" s="52">
        <f t="shared" si="18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>
      <c r="B61" s="7" t="str">
        <f t="shared" si="10"/>
        <v/>
      </c>
      <c r="C61" s="50">
        <f>IF(D11="","-",+C60+1)</f>
        <v>2066</v>
      </c>
      <c r="D61" s="55">
        <f>IF(F60+SUM(E$17:E60)=D$10,F60,D$10-SUM(E$17:E60))</f>
        <v>0</v>
      </c>
      <c r="E61" s="56">
        <f t="shared" si="14"/>
        <v>0</v>
      </c>
      <c r="F61" s="55">
        <f t="shared" si="15"/>
        <v>0</v>
      </c>
      <c r="G61" s="57">
        <f t="shared" si="16"/>
        <v>0</v>
      </c>
      <c r="H61" s="42">
        <f t="shared" si="17"/>
        <v>0</v>
      </c>
      <c r="I61" s="52">
        <f t="shared" si="18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>
      <c r="B62" s="7" t="str">
        <f t="shared" si="10"/>
        <v/>
      </c>
      <c r="C62" s="50">
        <f>IF(D11="","-",+C61+1)</f>
        <v>2067</v>
      </c>
      <c r="D62" s="55">
        <f>IF(F61+SUM(E$17:E61)=D$10,F61,D$10-SUM(E$17:E61))</f>
        <v>0</v>
      </c>
      <c r="E62" s="56">
        <f t="shared" si="14"/>
        <v>0</v>
      </c>
      <c r="F62" s="55">
        <f t="shared" si="15"/>
        <v>0</v>
      </c>
      <c r="G62" s="57">
        <f t="shared" si="16"/>
        <v>0</v>
      </c>
      <c r="H62" s="42">
        <f t="shared" si="17"/>
        <v>0</v>
      </c>
      <c r="I62" s="52">
        <f t="shared" si="18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>
      <c r="B63" s="7" t="str">
        <f t="shared" si="10"/>
        <v/>
      </c>
      <c r="C63" s="50">
        <f>IF(D11="","-",+C62+1)</f>
        <v>2068</v>
      </c>
      <c r="D63" s="55">
        <f>IF(F62+SUM(E$17:E62)=D$10,F62,D$10-SUM(E$17:E62))</f>
        <v>0</v>
      </c>
      <c r="E63" s="56">
        <f t="shared" si="14"/>
        <v>0</v>
      </c>
      <c r="F63" s="55">
        <f t="shared" si="15"/>
        <v>0</v>
      </c>
      <c r="G63" s="57">
        <f t="shared" si="16"/>
        <v>0</v>
      </c>
      <c r="H63" s="42">
        <f t="shared" si="17"/>
        <v>0</v>
      </c>
      <c r="I63" s="52">
        <f t="shared" si="18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>
      <c r="B64" s="7" t="str">
        <f t="shared" si="10"/>
        <v/>
      </c>
      <c r="C64" s="50">
        <f>IF(D11="","-",+C63+1)</f>
        <v>2069</v>
      </c>
      <c r="D64" s="55">
        <f>IF(F63+SUM(E$17:E63)=D$10,F63,D$10-SUM(E$17:E63))</f>
        <v>0</v>
      </c>
      <c r="E64" s="56">
        <f t="shared" si="14"/>
        <v>0</v>
      </c>
      <c r="F64" s="55">
        <f t="shared" si="15"/>
        <v>0</v>
      </c>
      <c r="G64" s="57">
        <f t="shared" si="16"/>
        <v>0</v>
      </c>
      <c r="H64" s="42">
        <f t="shared" si="17"/>
        <v>0</v>
      </c>
      <c r="I64" s="52">
        <f t="shared" si="18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>
      <c r="B65" s="7" t="str">
        <f t="shared" si="10"/>
        <v/>
      </c>
      <c r="C65" s="50">
        <f>IF(D11="","-",+C64+1)</f>
        <v>2070</v>
      </c>
      <c r="D65" s="55">
        <f>IF(F64+SUM(E$17:E64)=D$10,F64,D$10-SUM(E$17:E64))</f>
        <v>0</v>
      </c>
      <c r="E65" s="56">
        <f t="shared" si="14"/>
        <v>0</v>
      </c>
      <c r="F65" s="55">
        <f t="shared" si="15"/>
        <v>0</v>
      </c>
      <c r="G65" s="57">
        <f t="shared" si="16"/>
        <v>0</v>
      </c>
      <c r="H65" s="42">
        <f t="shared" si="17"/>
        <v>0</v>
      </c>
      <c r="I65" s="52">
        <f t="shared" si="18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>
      <c r="B66" s="7" t="str">
        <f t="shared" si="10"/>
        <v/>
      </c>
      <c r="C66" s="50">
        <f>IF(D11="","-",+C65+1)</f>
        <v>2071</v>
      </c>
      <c r="D66" s="55">
        <f>IF(F65+SUM(E$17:E65)=D$10,F65,D$10-SUM(E$17:E65))</f>
        <v>0</v>
      </c>
      <c r="E66" s="56">
        <f t="shared" si="14"/>
        <v>0</v>
      </c>
      <c r="F66" s="55">
        <f t="shared" si="15"/>
        <v>0</v>
      </c>
      <c r="G66" s="57">
        <f t="shared" si="16"/>
        <v>0</v>
      </c>
      <c r="H66" s="42">
        <f t="shared" si="17"/>
        <v>0</v>
      </c>
      <c r="I66" s="52">
        <f t="shared" si="18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>
      <c r="B67" s="7" t="str">
        <f t="shared" si="10"/>
        <v/>
      </c>
      <c r="C67" s="50">
        <f>IF(D11="","-",+C66+1)</f>
        <v>2072</v>
      </c>
      <c r="D67" s="55">
        <f>IF(F66+SUM(E$17:E66)=D$10,F66,D$10-SUM(E$17:E66))</f>
        <v>0</v>
      </c>
      <c r="E67" s="56">
        <f t="shared" si="14"/>
        <v>0</v>
      </c>
      <c r="F67" s="55">
        <f t="shared" si="15"/>
        <v>0</v>
      </c>
      <c r="G67" s="57">
        <f t="shared" si="16"/>
        <v>0</v>
      </c>
      <c r="H67" s="42">
        <f t="shared" si="17"/>
        <v>0</v>
      </c>
      <c r="I67" s="52">
        <f t="shared" si="18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>
      <c r="B68" s="7" t="str">
        <f t="shared" si="10"/>
        <v/>
      </c>
      <c r="C68" s="50">
        <f>IF(D11="","-",+C67+1)</f>
        <v>2073</v>
      </c>
      <c r="D68" s="55">
        <f>IF(F67+SUM(E$17:E67)=D$10,F67,D$10-SUM(E$17:E67))</f>
        <v>0</v>
      </c>
      <c r="E68" s="56">
        <f t="shared" si="14"/>
        <v>0</v>
      </c>
      <c r="F68" s="55">
        <f t="shared" si="15"/>
        <v>0</v>
      </c>
      <c r="G68" s="57">
        <f t="shared" si="16"/>
        <v>0</v>
      </c>
      <c r="H68" s="42">
        <f t="shared" si="17"/>
        <v>0</v>
      </c>
      <c r="I68" s="52">
        <f t="shared" si="18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>
      <c r="B69" s="7" t="str">
        <f t="shared" si="10"/>
        <v/>
      </c>
      <c r="C69" s="50">
        <f>IF(D11="","-",+C68+1)</f>
        <v>2074</v>
      </c>
      <c r="D69" s="55">
        <f>IF(F68+SUM(E$17:E68)=D$10,F68,D$10-SUM(E$17:E68))</f>
        <v>0</v>
      </c>
      <c r="E69" s="56">
        <f t="shared" si="14"/>
        <v>0</v>
      </c>
      <c r="F69" s="55">
        <f t="shared" si="15"/>
        <v>0</v>
      </c>
      <c r="G69" s="57">
        <f t="shared" si="16"/>
        <v>0</v>
      </c>
      <c r="H69" s="42">
        <f t="shared" si="17"/>
        <v>0</v>
      </c>
      <c r="I69" s="52">
        <f t="shared" si="18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>
      <c r="B70" s="7" t="str">
        <f t="shared" si="10"/>
        <v/>
      </c>
      <c r="C70" s="50">
        <f>IF(D11="","-",+C69+1)</f>
        <v>2075</v>
      </c>
      <c r="D70" s="55">
        <f>IF(F69+SUM(E$17:E69)=D$10,F69,D$10-SUM(E$17:E69))</f>
        <v>0</v>
      </c>
      <c r="E70" s="56">
        <f t="shared" si="14"/>
        <v>0</v>
      </c>
      <c r="F70" s="55">
        <f t="shared" si="15"/>
        <v>0</v>
      </c>
      <c r="G70" s="57">
        <f t="shared" si="16"/>
        <v>0</v>
      </c>
      <c r="H70" s="42">
        <f t="shared" si="17"/>
        <v>0</v>
      </c>
      <c r="I70" s="52">
        <f t="shared" si="18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>
      <c r="B71" s="7" t="str">
        <f t="shared" si="10"/>
        <v/>
      </c>
      <c r="C71" s="50">
        <f>IF(D11="","-",+C70+1)</f>
        <v>2076</v>
      </c>
      <c r="D71" s="55">
        <f>IF(F70+SUM(E$17:E70)=D$10,F70,D$10-SUM(E$17:E70))</f>
        <v>0</v>
      </c>
      <c r="E71" s="56">
        <f t="shared" si="14"/>
        <v>0</v>
      </c>
      <c r="F71" s="55">
        <f t="shared" si="15"/>
        <v>0</v>
      </c>
      <c r="G71" s="57">
        <f t="shared" si="16"/>
        <v>0</v>
      </c>
      <c r="H71" s="42">
        <f t="shared" si="17"/>
        <v>0</v>
      </c>
      <c r="I71" s="52">
        <f t="shared" si="18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10"/>
        <v/>
      </c>
      <c r="C72" s="58">
        <f>IF(D11="","-",+C71+1)</f>
        <v>2077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>
      <c r="C73" s="12" t="s">
        <v>77</v>
      </c>
      <c r="D73" s="267"/>
      <c r="E73" s="267">
        <f>SUM(E17:E72)</f>
        <v>37862.589999999989</v>
      </c>
      <c r="F73" s="267"/>
      <c r="G73" s="267">
        <f>SUM(G17:G72)</f>
        <v>123851.98421778604</v>
      </c>
      <c r="H73" s="267">
        <f>SUM(H17:H72)</f>
        <v>123851.98421778604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29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5160.1751395174269</v>
      </c>
      <c r="N87" s="364">
        <f>IF(J92&lt;D11,0,VLOOKUP(J92,C17:O72,11))</f>
        <v>5160.1751395174269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4837.306098680694</v>
      </c>
      <c r="N88" s="367">
        <f>IF(J92&lt;D11,0,VLOOKUP(J92,C99:P154,7))</f>
        <v>4837.306098680694</v>
      </c>
      <c r="O88" s="69">
        <f>+N88-M88</f>
        <v>0</v>
      </c>
      <c r="P88" s="1"/>
    </row>
    <row r="89" spans="1:16" ht="13.5" thickBot="1">
      <c r="C89" s="26" t="s">
        <v>92</v>
      </c>
      <c r="D89" s="97"/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-322.86904083673289</v>
      </c>
      <c r="N89" s="369">
        <f>+N88-N87</f>
        <v>-322.86904083673289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/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37863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>
      <c r="C93" s="37" t="s">
        <v>53</v>
      </c>
      <c r="D93" s="86">
        <v>2022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6">
        <v>11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1023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>
      <c r="C99" s="50">
        <f>IF(D93= "","-",D93)</f>
        <v>2022</v>
      </c>
      <c r="D99" s="411">
        <v>0</v>
      </c>
      <c r="E99" s="433">
        <v>0</v>
      </c>
      <c r="F99" s="411">
        <v>0</v>
      </c>
      <c r="G99" s="433">
        <v>0</v>
      </c>
      <c r="H99" s="414">
        <v>0</v>
      </c>
      <c r="I99" s="432">
        <v>0</v>
      </c>
      <c r="J99" s="54">
        <f>+I99-H99</f>
        <v>0</v>
      </c>
      <c r="K99" s="54"/>
      <c r="L99" s="53">
        <f>+H99</f>
        <v>0</v>
      </c>
      <c r="M99" s="53">
        <f t="shared" ref="M99:M130" si="19">IF(L99&lt;&gt;0,+H99-L99,0)</f>
        <v>0</v>
      </c>
      <c r="N99" s="53">
        <f>+I99</f>
        <v>0</v>
      </c>
      <c r="O99" s="53">
        <f t="shared" ref="O99:O130" si="20">IF(N99&lt;&gt;0,+I99-N99,0)</f>
        <v>0</v>
      </c>
      <c r="P99" s="53">
        <f t="shared" ref="P99:P130" si="21">+O99-M99</f>
        <v>0</v>
      </c>
    </row>
    <row r="100" spans="1:16" ht="13">
      <c r="B100" s="7" t="str">
        <f>IF(D100=F99,"","IU")</f>
        <v/>
      </c>
      <c r="C100" s="449">
        <f>IF(D93="","-",+C99+1)</f>
        <v>2023</v>
      </c>
      <c r="D100" s="411">
        <v>0</v>
      </c>
      <c r="E100" s="412">
        <v>0</v>
      </c>
      <c r="F100" s="411">
        <v>31450.100000000006</v>
      </c>
      <c r="G100" s="412">
        <v>15725.050000000003</v>
      </c>
      <c r="H100" s="414">
        <v>1695.3372308813255</v>
      </c>
      <c r="I100" s="432">
        <v>1695.3372308813255</v>
      </c>
      <c r="J100" s="54">
        <f t="shared" ref="J100:J130" si="22">+I100-H100</f>
        <v>0</v>
      </c>
      <c r="K100" s="54"/>
      <c r="L100" s="54">
        <f>+H100</f>
        <v>1695.3372308813255</v>
      </c>
      <c r="M100" s="54">
        <f t="shared" ref="M100" si="23">IF(L100&lt;&gt;0,+H100-L100,0)</f>
        <v>0</v>
      </c>
      <c r="N100" s="54">
        <f>+I100</f>
        <v>1695.3372308813255</v>
      </c>
      <c r="O100" s="54">
        <f t="shared" ref="O100" si="24">IF(N100&lt;&gt;0,+I100-N100,0)</f>
        <v>0</v>
      </c>
      <c r="P100" s="54">
        <f t="shared" ref="P100" si="25">+O100-M100</f>
        <v>0</v>
      </c>
    </row>
    <row r="101" spans="1:16">
      <c r="B101" s="7" t="str">
        <f t="shared" ref="B101:B154" si="26">IF(D101=F100,"","IU")</f>
        <v>IU</v>
      </c>
      <c r="C101" s="50">
        <f>IF(D93="","-",+C100+1)</f>
        <v>2024</v>
      </c>
      <c r="D101" s="411">
        <v>36961.589999999997</v>
      </c>
      <c r="E101" s="412">
        <v>901</v>
      </c>
      <c r="F101" s="411">
        <v>36060.589999999997</v>
      </c>
      <c r="G101" s="412">
        <v>36511.089999999997</v>
      </c>
      <c r="H101" s="414">
        <v>4837.306098680694</v>
      </c>
      <c r="I101" s="432">
        <v>4837.306098680694</v>
      </c>
      <c r="J101" s="54">
        <f t="shared" si="22"/>
        <v>0</v>
      </c>
      <c r="K101" s="54"/>
      <c r="L101" s="54">
        <f>+H101</f>
        <v>4837.306098680694</v>
      </c>
      <c r="M101" s="54">
        <f t="shared" ref="M101" si="27">IF(L101&lt;&gt;0,+H101-L101,0)</f>
        <v>0</v>
      </c>
      <c r="N101" s="54">
        <f>+I101</f>
        <v>4837.306098680694</v>
      </c>
      <c r="O101" s="54">
        <f t="shared" ref="O101" si="28">IF(N101&lt;&gt;0,+I101-N101,0)</f>
        <v>0</v>
      </c>
      <c r="P101" s="54">
        <f t="shared" ref="P101" si="29">+O101-M101</f>
        <v>0</v>
      </c>
    </row>
    <row r="102" spans="1:16">
      <c r="B102" s="7" t="str">
        <f t="shared" si="26"/>
        <v>IU</v>
      </c>
      <c r="C102" s="50">
        <f>IF(D93="","-",+C101+1)</f>
        <v>2025</v>
      </c>
      <c r="D102" s="12">
        <f>IF(F101+SUM(E$99:E101)=D$92,F101,D$92-SUM(E$99:E101))</f>
        <v>36962</v>
      </c>
      <c r="E102" s="354">
        <f t="shared" ref="E102" si="30">IF(+J$96&lt;F101,J$96,D102)</f>
        <v>1023</v>
      </c>
      <c r="F102" s="55">
        <f t="shared" ref="F102" si="31">+D102-E102</f>
        <v>35939</v>
      </c>
      <c r="G102" s="55">
        <f t="shared" ref="G102" si="32">+(F102+D102)/2</f>
        <v>36450.5</v>
      </c>
      <c r="H102" s="436">
        <f t="shared" ref="H102" si="33">+J$94*G102+E102</f>
        <v>5918.9841300109729</v>
      </c>
      <c r="I102" s="437">
        <f t="shared" ref="I102" si="34">+J$95*G102+E102</f>
        <v>5918.9841300109729</v>
      </c>
      <c r="J102" s="54">
        <f t="shared" ref="J102" si="35">+I102-H102</f>
        <v>0</v>
      </c>
      <c r="K102" s="54"/>
      <c r="L102" s="115"/>
      <c r="M102" s="54">
        <f t="shared" si="19"/>
        <v>0</v>
      </c>
      <c r="N102" s="115"/>
      <c r="O102" s="54">
        <f t="shared" si="20"/>
        <v>0</v>
      </c>
      <c r="P102" s="54">
        <f t="shared" si="21"/>
        <v>0</v>
      </c>
    </row>
    <row r="103" spans="1:16">
      <c r="B103" s="7" t="str">
        <f t="shared" si="26"/>
        <v/>
      </c>
      <c r="C103" s="50">
        <f>IF(D93="","-",+C102+1)</f>
        <v>2026</v>
      </c>
      <c r="D103" s="12">
        <f>IF(F102+SUM(E$99:E102)=D$92,F102,D$92-SUM(E$99:E102))</f>
        <v>35939</v>
      </c>
      <c r="E103" s="354">
        <f t="shared" ref="E103:E154" si="36">IF(+J$96&lt;F102,J$96,D103)</f>
        <v>1023</v>
      </c>
      <c r="F103" s="55">
        <f t="shared" ref="F103:F154" si="37">+D103-E103</f>
        <v>34916</v>
      </c>
      <c r="G103" s="55">
        <f t="shared" ref="G103:G154" si="38">+(F103+D103)/2</f>
        <v>35427.5</v>
      </c>
      <c r="H103" s="436">
        <f t="shared" ref="H103:H154" si="39">+J$94*G103+E103</f>
        <v>5781.5760899291845</v>
      </c>
      <c r="I103" s="437">
        <f t="shared" ref="I103:I154" si="40">+J$95*G103+E103</f>
        <v>5781.5760899291845</v>
      </c>
      <c r="J103" s="54">
        <f t="shared" si="22"/>
        <v>0</v>
      </c>
      <c r="K103" s="54"/>
      <c r="L103" s="115"/>
      <c r="M103" s="54">
        <f t="shared" si="19"/>
        <v>0</v>
      </c>
      <c r="N103" s="115"/>
      <c r="O103" s="54">
        <f t="shared" si="20"/>
        <v>0</v>
      </c>
      <c r="P103" s="54">
        <f t="shared" si="21"/>
        <v>0</v>
      </c>
    </row>
    <row r="104" spans="1:16">
      <c r="B104" s="7" t="str">
        <f t="shared" si="26"/>
        <v/>
      </c>
      <c r="C104" s="50">
        <f>IF(D93="","-",+C103+1)</f>
        <v>2027</v>
      </c>
      <c r="D104" s="12">
        <f>IF(F103+SUM(E$99:E103)=D$92,F103,D$92-SUM(E$99:E103))</f>
        <v>34916</v>
      </c>
      <c r="E104" s="354">
        <f t="shared" si="36"/>
        <v>1023</v>
      </c>
      <c r="F104" s="55">
        <f t="shared" si="37"/>
        <v>33893</v>
      </c>
      <c r="G104" s="55">
        <f t="shared" si="38"/>
        <v>34404.5</v>
      </c>
      <c r="H104" s="436">
        <f t="shared" si="39"/>
        <v>5644.1680498473961</v>
      </c>
      <c r="I104" s="437">
        <f t="shared" si="40"/>
        <v>5644.1680498473961</v>
      </c>
      <c r="J104" s="54">
        <f t="shared" si="22"/>
        <v>0</v>
      </c>
      <c r="K104" s="54"/>
      <c r="L104" s="115"/>
      <c r="M104" s="54">
        <f t="shared" si="19"/>
        <v>0</v>
      </c>
      <c r="N104" s="115"/>
      <c r="O104" s="54">
        <f t="shared" si="20"/>
        <v>0</v>
      </c>
      <c r="P104" s="54">
        <f t="shared" si="21"/>
        <v>0</v>
      </c>
    </row>
    <row r="105" spans="1:16">
      <c r="B105" s="7" t="str">
        <f t="shared" si="26"/>
        <v/>
      </c>
      <c r="C105" s="50">
        <f>IF(D93="","-",+C104+1)</f>
        <v>2028</v>
      </c>
      <c r="D105" s="12">
        <f>IF(F104+SUM(E$99:E104)=D$92,F104,D$92-SUM(E$99:E104))</f>
        <v>33893</v>
      </c>
      <c r="E105" s="354">
        <f t="shared" si="36"/>
        <v>1023</v>
      </c>
      <c r="F105" s="55">
        <f t="shared" si="37"/>
        <v>32870</v>
      </c>
      <c r="G105" s="55">
        <f t="shared" si="38"/>
        <v>33381.5</v>
      </c>
      <c r="H105" s="436">
        <f t="shared" si="39"/>
        <v>5506.7600097656077</v>
      </c>
      <c r="I105" s="437">
        <f t="shared" si="40"/>
        <v>5506.7600097656077</v>
      </c>
      <c r="J105" s="54">
        <f t="shared" si="22"/>
        <v>0</v>
      </c>
      <c r="K105" s="54"/>
      <c r="L105" s="115"/>
      <c r="M105" s="54">
        <f t="shared" si="19"/>
        <v>0</v>
      </c>
      <c r="N105" s="115"/>
      <c r="O105" s="54">
        <f t="shared" si="20"/>
        <v>0</v>
      </c>
      <c r="P105" s="54">
        <f t="shared" si="21"/>
        <v>0</v>
      </c>
    </row>
    <row r="106" spans="1:16">
      <c r="B106" s="7" t="str">
        <f t="shared" si="26"/>
        <v/>
      </c>
      <c r="C106" s="50">
        <f>IF(D93="","-",+C105+1)</f>
        <v>2029</v>
      </c>
      <c r="D106" s="12">
        <f>IF(F105+SUM(E$99:E105)=D$92,F105,D$92-SUM(E$99:E105))</f>
        <v>32870</v>
      </c>
      <c r="E106" s="354">
        <f t="shared" si="36"/>
        <v>1023</v>
      </c>
      <c r="F106" s="55">
        <f t="shared" si="37"/>
        <v>31847</v>
      </c>
      <c r="G106" s="55">
        <f t="shared" si="38"/>
        <v>32358.5</v>
      </c>
      <c r="H106" s="436">
        <f t="shared" si="39"/>
        <v>5369.3519696838193</v>
      </c>
      <c r="I106" s="437">
        <f t="shared" si="40"/>
        <v>5369.3519696838193</v>
      </c>
      <c r="J106" s="54">
        <f t="shared" si="22"/>
        <v>0</v>
      </c>
      <c r="K106" s="54"/>
      <c r="L106" s="115"/>
      <c r="M106" s="54">
        <f t="shared" si="19"/>
        <v>0</v>
      </c>
      <c r="N106" s="115"/>
      <c r="O106" s="54">
        <f t="shared" si="20"/>
        <v>0</v>
      </c>
      <c r="P106" s="54">
        <f t="shared" si="21"/>
        <v>0</v>
      </c>
    </row>
    <row r="107" spans="1:16">
      <c r="B107" s="7" t="str">
        <f t="shared" si="26"/>
        <v/>
      </c>
      <c r="C107" s="50">
        <f>IF(D93="","-",+C106+1)</f>
        <v>2030</v>
      </c>
      <c r="D107" s="12">
        <f>IF(F106+SUM(E$99:E106)=D$92,F106,D$92-SUM(E$99:E106))</f>
        <v>31847</v>
      </c>
      <c r="E107" s="354">
        <f t="shared" si="36"/>
        <v>1023</v>
      </c>
      <c r="F107" s="55">
        <f t="shared" si="37"/>
        <v>30824</v>
      </c>
      <c r="G107" s="55">
        <f t="shared" si="38"/>
        <v>31335.5</v>
      </c>
      <c r="H107" s="436">
        <f t="shared" si="39"/>
        <v>5231.9439296020309</v>
      </c>
      <c r="I107" s="437">
        <f t="shared" si="40"/>
        <v>5231.9439296020309</v>
      </c>
      <c r="J107" s="54">
        <f t="shared" si="22"/>
        <v>0</v>
      </c>
      <c r="K107" s="54"/>
      <c r="L107" s="115"/>
      <c r="M107" s="54">
        <f t="shared" si="19"/>
        <v>0</v>
      </c>
      <c r="N107" s="115"/>
      <c r="O107" s="54">
        <f t="shared" si="20"/>
        <v>0</v>
      </c>
      <c r="P107" s="54">
        <f t="shared" si="21"/>
        <v>0</v>
      </c>
    </row>
    <row r="108" spans="1:16">
      <c r="B108" s="7" t="str">
        <f t="shared" si="26"/>
        <v/>
      </c>
      <c r="C108" s="50">
        <f>IF(D93="","-",+C107+1)</f>
        <v>2031</v>
      </c>
      <c r="D108" s="12">
        <f>IF(F107+SUM(E$99:E107)=D$92,F107,D$92-SUM(E$99:E107))</f>
        <v>30824</v>
      </c>
      <c r="E108" s="354">
        <f t="shared" si="36"/>
        <v>1023</v>
      </c>
      <c r="F108" s="55">
        <f t="shared" si="37"/>
        <v>29801</v>
      </c>
      <c r="G108" s="55">
        <f t="shared" si="38"/>
        <v>30312.5</v>
      </c>
      <c r="H108" s="436">
        <f t="shared" si="39"/>
        <v>5094.5358895202426</v>
      </c>
      <c r="I108" s="437">
        <f t="shared" si="40"/>
        <v>5094.5358895202426</v>
      </c>
      <c r="J108" s="54">
        <f t="shared" si="22"/>
        <v>0</v>
      </c>
      <c r="K108" s="54"/>
      <c r="L108" s="115"/>
      <c r="M108" s="54">
        <f t="shared" si="19"/>
        <v>0</v>
      </c>
      <c r="N108" s="115"/>
      <c r="O108" s="54">
        <f t="shared" si="20"/>
        <v>0</v>
      </c>
      <c r="P108" s="54">
        <f t="shared" si="21"/>
        <v>0</v>
      </c>
    </row>
    <row r="109" spans="1:16">
      <c r="B109" s="7" t="str">
        <f t="shared" si="26"/>
        <v/>
      </c>
      <c r="C109" s="50">
        <f>IF(D93="","-",+C108+1)</f>
        <v>2032</v>
      </c>
      <c r="D109" s="12">
        <f>IF(F108+SUM(E$99:E108)=D$92,F108,D$92-SUM(E$99:E108))</f>
        <v>29801</v>
      </c>
      <c r="E109" s="354">
        <f t="shared" si="36"/>
        <v>1023</v>
      </c>
      <c r="F109" s="55">
        <f t="shared" si="37"/>
        <v>28778</v>
      </c>
      <c r="G109" s="55">
        <f t="shared" si="38"/>
        <v>29289.5</v>
      </c>
      <c r="H109" s="436">
        <f t="shared" si="39"/>
        <v>4957.1278494384551</v>
      </c>
      <c r="I109" s="437">
        <f t="shared" si="40"/>
        <v>4957.1278494384551</v>
      </c>
      <c r="J109" s="54">
        <f t="shared" si="22"/>
        <v>0</v>
      </c>
      <c r="K109" s="54"/>
      <c r="L109" s="115"/>
      <c r="M109" s="54">
        <f t="shared" si="19"/>
        <v>0</v>
      </c>
      <c r="N109" s="115"/>
      <c r="O109" s="54">
        <f t="shared" si="20"/>
        <v>0</v>
      </c>
      <c r="P109" s="54">
        <f t="shared" si="21"/>
        <v>0</v>
      </c>
    </row>
    <row r="110" spans="1:16">
      <c r="B110" s="7" t="str">
        <f t="shared" si="26"/>
        <v/>
      </c>
      <c r="C110" s="50">
        <f>IF(D93="","-",+C109+1)</f>
        <v>2033</v>
      </c>
      <c r="D110" s="12">
        <f>IF(F109+SUM(E$99:E109)=D$92,F109,D$92-SUM(E$99:E109))</f>
        <v>28778</v>
      </c>
      <c r="E110" s="354">
        <f t="shared" si="36"/>
        <v>1023</v>
      </c>
      <c r="F110" s="55">
        <f t="shared" si="37"/>
        <v>27755</v>
      </c>
      <c r="G110" s="55">
        <f t="shared" si="38"/>
        <v>28266.5</v>
      </c>
      <c r="H110" s="436">
        <f t="shared" si="39"/>
        <v>4819.7198093566658</v>
      </c>
      <c r="I110" s="437">
        <f t="shared" si="40"/>
        <v>4819.7198093566658</v>
      </c>
      <c r="J110" s="54">
        <f t="shared" si="22"/>
        <v>0</v>
      </c>
      <c r="K110" s="54"/>
      <c r="L110" s="115"/>
      <c r="M110" s="54">
        <f t="shared" si="19"/>
        <v>0</v>
      </c>
      <c r="N110" s="115"/>
      <c r="O110" s="54">
        <f t="shared" si="20"/>
        <v>0</v>
      </c>
      <c r="P110" s="54">
        <f t="shared" si="21"/>
        <v>0</v>
      </c>
    </row>
    <row r="111" spans="1:16">
      <c r="B111" s="7" t="str">
        <f t="shared" si="26"/>
        <v/>
      </c>
      <c r="C111" s="50">
        <f>IF(D93="","-",+C110+1)</f>
        <v>2034</v>
      </c>
      <c r="D111" s="12">
        <f>IF(F110+SUM(E$99:E110)=D$92,F110,D$92-SUM(E$99:E110))</f>
        <v>27755</v>
      </c>
      <c r="E111" s="354">
        <f t="shared" si="36"/>
        <v>1023</v>
      </c>
      <c r="F111" s="55">
        <f t="shared" si="37"/>
        <v>26732</v>
      </c>
      <c r="G111" s="55">
        <f t="shared" si="38"/>
        <v>27243.5</v>
      </c>
      <c r="H111" s="436">
        <f t="shared" si="39"/>
        <v>4682.3117692748783</v>
      </c>
      <c r="I111" s="437">
        <f t="shared" si="40"/>
        <v>4682.3117692748783</v>
      </c>
      <c r="J111" s="54">
        <f t="shared" si="22"/>
        <v>0</v>
      </c>
      <c r="K111" s="54"/>
      <c r="L111" s="115"/>
      <c r="M111" s="54">
        <f t="shared" si="19"/>
        <v>0</v>
      </c>
      <c r="N111" s="115"/>
      <c r="O111" s="54">
        <f t="shared" si="20"/>
        <v>0</v>
      </c>
      <c r="P111" s="54">
        <f t="shared" si="21"/>
        <v>0</v>
      </c>
    </row>
    <row r="112" spans="1:16">
      <c r="B112" s="7" t="str">
        <f t="shared" si="26"/>
        <v/>
      </c>
      <c r="C112" s="50">
        <f>IF(D93="","-",+C111+1)</f>
        <v>2035</v>
      </c>
      <c r="D112" s="12">
        <f>IF(F111+SUM(E$99:E111)=D$92,F111,D$92-SUM(E$99:E111))</f>
        <v>26732</v>
      </c>
      <c r="E112" s="354">
        <f t="shared" si="36"/>
        <v>1023</v>
      </c>
      <c r="F112" s="55">
        <f t="shared" si="37"/>
        <v>25709</v>
      </c>
      <c r="G112" s="55">
        <f t="shared" si="38"/>
        <v>26220.5</v>
      </c>
      <c r="H112" s="436">
        <f t="shared" si="39"/>
        <v>4544.9037291930899</v>
      </c>
      <c r="I112" s="437">
        <f t="shared" si="40"/>
        <v>4544.9037291930899</v>
      </c>
      <c r="J112" s="54">
        <f t="shared" si="22"/>
        <v>0</v>
      </c>
      <c r="K112" s="54"/>
      <c r="L112" s="115"/>
      <c r="M112" s="54">
        <f t="shared" si="19"/>
        <v>0</v>
      </c>
      <c r="N112" s="115"/>
      <c r="O112" s="54">
        <f t="shared" si="20"/>
        <v>0</v>
      </c>
      <c r="P112" s="54">
        <f t="shared" si="21"/>
        <v>0</v>
      </c>
    </row>
    <row r="113" spans="2:16">
      <c r="B113" s="7" t="str">
        <f t="shared" si="26"/>
        <v/>
      </c>
      <c r="C113" s="50">
        <f>IF(D93="","-",+C112+1)</f>
        <v>2036</v>
      </c>
      <c r="D113" s="12">
        <f>IF(F112+SUM(E$99:E112)=D$92,F112,D$92-SUM(E$99:E112))</f>
        <v>25709</v>
      </c>
      <c r="E113" s="354">
        <f t="shared" si="36"/>
        <v>1023</v>
      </c>
      <c r="F113" s="55">
        <f t="shared" si="37"/>
        <v>24686</v>
      </c>
      <c r="G113" s="55">
        <f t="shared" si="38"/>
        <v>25197.5</v>
      </c>
      <c r="H113" s="436">
        <f t="shared" si="39"/>
        <v>4407.4956891113015</v>
      </c>
      <c r="I113" s="437">
        <f t="shared" si="40"/>
        <v>4407.4956891113015</v>
      </c>
      <c r="J113" s="54">
        <f t="shared" si="22"/>
        <v>0</v>
      </c>
      <c r="K113" s="54"/>
      <c r="L113" s="115"/>
      <c r="M113" s="54">
        <f t="shared" si="19"/>
        <v>0</v>
      </c>
      <c r="N113" s="115"/>
      <c r="O113" s="54">
        <f t="shared" si="20"/>
        <v>0</v>
      </c>
      <c r="P113" s="54">
        <f t="shared" si="21"/>
        <v>0</v>
      </c>
    </row>
    <row r="114" spans="2:16">
      <c r="B114" s="7" t="str">
        <f t="shared" si="26"/>
        <v/>
      </c>
      <c r="C114" s="50">
        <f>IF(D93="","-",+C113+1)</f>
        <v>2037</v>
      </c>
      <c r="D114" s="12">
        <f>IF(F113+SUM(E$99:E113)=D$92,F113,D$92-SUM(E$99:E113))</f>
        <v>24686</v>
      </c>
      <c r="E114" s="354">
        <f t="shared" si="36"/>
        <v>1023</v>
      </c>
      <c r="F114" s="55">
        <f t="shared" si="37"/>
        <v>23663</v>
      </c>
      <c r="G114" s="55">
        <f t="shared" si="38"/>
        <v>24174.5</v>
      </c>
      <c r="H114" s="436">
        <f t="shared" si="39"/>
        <v>4270.0876490295132</v>
      </c>
      <c r="I114" s="437">
        <f t="shared" si="40"/>
        <v>4270.0876490295132</v>
      </c>
      <c r="J114" s="54">
        <f t="shared" si="22"/>
        <v>0</v>
      </c>
      <c r="K114" s="54"/>
      <c r="L114" s="115"/>
      <c r="M114" s="54">
        <f t="shared" si="19"/>
        <v>0</v>
      </c>
      <c r="N114" s="115"/>
      <c r="O114" s="54">
        <f t="shared" si="20"/>
        <v>0</v>
      </c>
      <c r="P114" s="54">
        <f t="shared" si="21"/>
        <v>0</v>
      </c>
    </row>
    <row r="115" spans="2:16">
      <c r="B115" s="7" t="str">
        <f t="shared" si="26"/>
        <v/>
      </c>
      <c r="C115" s="50">
        <f>IF(D93="","-",+C114+1)</f>
        <v>2038</v>
      </c>
      <c r="D115" s="12">
        <f>IF(F114+SUM(E$99:E114)=D$92,F114,D$92-SUM(E$99:E114))</f>
        <v>23663</v>
      </c>
      <c r="E115" s="354">
        <f t="shared" si="36"/>
        <v>1023</v>
      </c>
      <c r="F115" s="55">
        <f t="shared" si="37"/>
        <v>22640</v>
      </c>
      <c r="G115" s="55">
        <f t="shared" si="38"/>
        <v>23151.5</v>
      </c>
      <c r="H115" s="436">
        <f t="shared" si="39"/>
        <v>4132.6796089477248</v>
      </c>
      <c r="I115" s="437">
        <f t="shared" si="40"/>
        <v>4132.6796089477248</v>
      </c>
      <c r="J115" s="54">
        <f t="shared" si="22"/>
        <v>0</v>
      </c>
      <c r="K115" s="54"/>
      <c r="L115" s="115"/>
      <c r="M115" s="54">
        <f t="shared" si="19"/>
        <v>0</v>
      </c>
      <c r="N115" s="115"/>
      <c r="O115" s="54">
        <f t="shared" si="20"/>
        <v>0</v>
      </c>
      <c r="P115" s="54">
        <f t="shared" si="21"/>
        <v>0</v>
      </c>
    </row>
    <row r="116" spans="2:16">
      <c r="B116" s="7" t="str">
        <f t="shared" si="26"/>
        <v/>
      </c>
      <c r="C116" s="50">
        <f>IF(D93="","-",+C115+1)</f>
        <v>2039</v>
      </c>
      <c r="D116" s="12">
        <f>IF(F115+SUM(E$99:E115)=D$92,F115,D$92-SUM(E$99:E115))</f>
        <v>22640</v>
      </c>
      <c r="E116" s="354">
        <f t="shared" si="36"/>
        <v>1023</v>
      </c>
      <c r="F116" s="55">
        <f t="shared" si="37"/>
        <v>21617</v>
      </c>
      <c r="G116" s="55">
        <f t="shared" si="38"/>
        <v>22128.5</v>
      </c>
      <c r="H116" s="436">
        <f t="shared" si="39"/>
        <v>3995.2715688659364</v>
      </c>
      <c r="I116" s="437">
        <f t="shared" si="40"/>
        <v>3995.2715688659364</v>
      </c>
      <c r="J116" s="54">
        <f t="shared" si="22"/>
        <v>0</v>
      </c>
      <c r="K116" s="54"/>
      <c r="L116" s="115"/>
      <c r="M116" s="54">
        <f t="shared" si="19"/>
        <v>0</v>
      </c>
      <c r="N116" s="115"/>
      <c r="O116" s="54">
        <f t="shared" si="20"/>
        <v>0</v>
      </c>
      <c r="P116" s="54">
        <f t="shared" si="21"/>
        <v>0</v>
      </c>
    </row>
    <row r="117" spans="2:16">
      <c r="B117" s="7" t="str">
        <f t="shared" si="26"/>
        <v/>
      </c>
      <c r="C117" s="50">
        <f>IF(D93="","-",+C116+1)</f>
        <v>2040</v>
      </c>
      <c r="D117" s="12">
        <f>IF(F116+SUM(E$99:E116)=D$92,F116,D$92-SUM(E$99:E116))</f>
        <v>21617</v>
      </c>
      <c r="E117" s="354">
        <f t="shared" si="36"/>
        <v>1023</v>
      </c>
      <c r="F117" s="55">
        <f t="shared" si="37"/>
        <v>20594</v>
      </c>
      <c r="G117" s="55">
        <f t="shared" si="38"/>
        <v>21105.5</v>
      </c>
      <c r="H117" s="436">
        <f t="shared" si="39"/>
        <v>3857.863528784148</v>
      </c>
      <c r="I117" s="437">
        <f t="shared" si="40"/>
        <v>3857.863528784148</v>
      </c>
      <c r="J117" s="54">
        <f t="shared" si="22"/>
        <v>0</v>
      </c>
      <c r="K117" s="54"/>
      <c r="L117" s="115"/>
      <c r="M117" s="54">
        <f t="shared" si="19"/>
        <v>0</v>
      </c>
      <c r="N117" s="115"/>
      <c r="O117" s="54">
        <f t="shared" si="20"/>
        <v>0</v>
      </c>
      <c r="P117" s="54">
        <f t="shared" si="21"/>
        <v>0</v>
      </c>
    </row>
    <row r="118" spans="2:16">
      <c r="B118" s="7" t="str">
        <f t="shared" si="26"/>
        <v/>
      </c>
      <c r="C118" s="50">
        <f>IF(D93="","-",+C117+1)</f>
        <v>2041</v>
      </c>
      <c r="D118" s="12">
        <f>IF(F117+SUM(E$99:E117)=D$92,F117,D$92-SUM(E$99:E117))</f>
        <v>20594</v>
      </c>
      <c r="E118" s="354">
        <f t="shared" si="36"/>
        <v>1023</v>
      </c>
      <c r="F118" s="55">
        <f t="shared" si="37"/>
        <v>19571</v>
      </c>
      <c r="G118" s="55">
        <f t="shared" si="38"/>
        <v>20082.5</v>
      </c>
      <c r="H118" s="436">
        <f t="shared" si="39"/>
        <v>3720.4554887023596</v>
      </c>
      <c r="I118" s="437">
        <f t="shared" si="40"/>
        <v>3720.4554887023596</v>
      </c>
      <c r="J118" s="54">
        <f t="shared" si="22"/>
        <v>0</v>
      </c>
      <c r="K118" s="54"/>
      <c r="L118" s="115"/>
      <c r="M118" s="54">
        <f t="shared" si="19"/>
        <v>0</v>
      </c>
      <c r="N118" s="115"/>
      <c r="O118" s="54">
        <f t="shared" si="20"/>
        <v>0</v>
      </c>
      <c r="P118" s="54">
        <f t="shared" si="21"/>
        <v>0</v>
      </c>
    </row>
    <row r="119" spans="2:16">
      <c r="B119" s="7" t="str">
        <f t="shared" si="26"/>
        <v/>
      </c>
      <c r="C119" s="50">
        <f>IF(D93="","-",+C118+1)</f>
        <v>2042</v>
      </c>
      <c r="D119" s="12">
        <f>IF(F118+SUM(E$99:E118)=D$92,F118,D$92-SUM(E$99:E118))</f>
        <v>19571</v>
      </c>
      <c r="E119" s="354">
        <f t="shared" si="36"/>
        <v>1023</v>
      </c>
      <c r="F119" s="55">
        <f t="shared" si="37"/>
        <v>18548</v>
      </c>
      <c r="G119" s="55">
        <f t="shared" si="38"/>
        <v>19059.5</v>
      </c>
      <c r="H119" s="436">
        <f t="shared" si="39"/>
        <v>3583.0474486205712</v>
      </c>
      <c r="I119" s="437">
        <f t="shared" si="40"/>
        <v>3583.0474486205712</v>
      </c>
      <c r="J119" s="54">
        <f t="shared" si="22"/>
        <v>0</v>
      </c>
      <c r="K119" s="54"/>
      <c r="L119" s="115"/>
      <c r="M119" s="54">
        <f t="shared" si="19"/>
        <v>0</v>
      </c>
      <c r="N119" s="115"/>
      <c r="O119" s="54">
        <f t="shared" si="20"/>
        <v>0</v>
      </c>
      <c r="P119" s="54">
        <f t="shared" si="21"/>
        <v>0</v>
      </c>
    </row>
    <row r="120" spans="2:16">
      <c r="B120" s="7" t="str">
        <f t="shared" si="26"/>
        <v/>
      </c>
      <c r="C120" s="50">
        <f>IF(D93="","-",+C119+1)</f>
        <v>2043</v>
      </c>
      <c r="D120" s="12">
        <f>IF(F119+SUM(E$99:E119)=D$92,F119,D$92-SUM(E$99:E119))</f>
        <v>18548</v>
      </c>
      <c r="E120" s="354">
        <f t="shared" si="36"/>
        <v>1023</v>
      </c>
      <c r="F120" s="55">
        <f t="shared" si="37"/>
        <v>17525</v>
      </c>
      <c r="G120" s="55">
        <f t="shared" si="38"/>
        <v>18036.5</v>
      </c>
      <c r="H120" s="436">
        <f t="shared" si="39"/>
        <v>3445.6394085387833</v>
      </c>
      <c r="I120" s="437">
        <f t="shared" si="40"/>
        <v>3445.6394085387833</v>
      </c>
      <c r="J120" s="54">
        <f t="shared" si="22"/>
        <v>0</v>
      </c>
      <c r="K120" s="54"/>
      <c r="L120" s="115"/>
      <c r="M120" s="54">
        <f t="shared" si="19"/>
        <v>0</v>
      </c>
      <c r="N120" s="115"/>
      <c r="O120" s="54">
        <f t="shared" si="20"/>
        <v>0</v>
      </c>
      <c r="P120" s="54">
        <f t="shared" si="21"/>
        <v>0</v>
      </c>
    </row>
    <row r="121" spans="2:16">
      <c r="B121" s="7" t="str">
        <f t="shared" si="26"/>
        <v/>
      </c>
      <c r="C121" s="50">
        <f>IF(D93="","-",+C120+1)</f>
        <v>2044</v>
      </c>
      <c r="D121" s="12">
        <f>IF(F120+SUM(E$99:E120)=D$92,F120,D$92-SUM(E$99:E120))</f>
        <v>17525</v>
      </c>
      <c r="E121" s="354">
        <f t="shared" si="36"/>
        <v>1023</v>
      </c>
      <c r="F121" s="55">
        <f t="shared" si="37"/>
        <v>16502</v>
      </c>
      <c r="G121" s="55">
        <f t="shared" si="38"/>
        <v>17013.5</v>
      </c>
      <c r="H121" s="436">
        <f t="shared" si="39"/>
        <v>3308.2313684569949</v>
      </c>
      <c r="I121" s="437">
        <f t="shared" si="40"/>
        <v>3308.2313684569949</v>
      </c>
      <c r="J121" s="54">
        <f t="shared" si="22"/>
        <v>0</v>
      </c>
      <c r="K121" s="54"/>
      <c r="L121" s="115"/>
      <c r="M121" s="54">
        <f t="shared" si="19"/>
        <v>0</v>
      </c>
      <c r="N121" s="115"/>
      <c r="O121" s="54">
        <f t="shared" si="20"/>
        <v>0</v>
      </c>
      <c r="P121" s="54">
        <f t="shared" si="21"/>
        <v>0</v>
      </c>
    </row>
    <row r="122" spans="2:16">
      <c r="B122" s="7" t="str">
        <f t="shared" si="26"/>
        <v/>
      </c>
      <c r="C122" s="50">
        <f>IF(D93="","-",+C121+1)</f>
        <v>2045</v>
      </c>
      <c r="D122" s="12">
        <f>IF(F121+SUM(E$99:E121)=D$92,F121,D$92-SUM(E$99:E121))</f>
        <v>16502</v>
      </c>
      <c r="E122" s="354">
        <f t="shared" si="36"/>
        <v>1023</v>
      </c>
      <c r="F122" s="55">
        <f t="shared" si="37"/>
        <v>15479</v>
      </c>
      <c r="G122" s="55">
        <f t="shared" si="38"/>
        <v>15990.5</v>
      </c>
      <c r="H122" s="436">
        <f t="shared" si="39"/>
        <v>3170.8233283752065</v>
      </c>
      <c r="I122" s="437">
        <f t="shared" si="40"/>
        <v>3170.8233283752065</v>
      </c>
      <c r="J122" s="54">
        <f t="shared" si="22"/>
        <v>0</v>
      </c>
      <c r="K122" s="54"/>
      <c r="L122" s="115"/>
      <c r="M122" s="54">
        <f t="shared" si="19"/>
        <v>0</v>
      </c>
      <c r="N122" s="115"/>
      <c r="O122" s="54">
        <f t="shared" si="20"/>
        <v>0</v>
      </c>
      <c r="P122" s="54">
        <f t="shared" si="21"/>
        <v>0</v>
      </c>
    </row>
    <row r="123" spans="2:16">
      <c r="B123" s="7" t="str">
        <f t="shared" si="26"/>
        <v/>
      </c>
      <c r="C123" s="50">
        <f>IF(D93="","-",+C122+1)</f>
        <v>2046</v>
      </c>
      <c r="D123" s="12">
        <f>IF(F122+SUM(E$99:E122)=D$92,F122,D$92-SUM(E$99:E122))</f>
        <v>15479</v>
      </c>
      <c r="E123" s="354">
        <f t="shared" si="36"/>
        <v>1023</v>
      </c>
      <c r="F123" s="55">
        <f t="shared" si="37"/>
        <v>14456</v>
      </c>
      <c r="G123" s="55">
        <f t="shared" si="38"/>
        <v>14967.5</v>
      </c>
      <c r="H123" s="436">
        <f t="shared" si="39"/>
        <v>3033.4152882934181</v>
      </c>
      <c r="I123" s="437">
        <f t="shared" si="40"/>
        <v>3033.4152882934181</v>
      </c>
      <c r="J123" s="54">
        <f t="shared" si="22"/>
        <v>0</v>
      </c>
      <c r="K123" s="54"/>
      <c r="L123" s="115"/>
      <c r="M123" s="54">
        <f t="shared" si="19"/>
        <v>0</v>
      </c>
      <c r="N123" s="115"/>
      <c r="O123" s="54">
        <f t="shared" si="20"/>
        <v>0</v>
      </c>
      <c r="P123" s="54">
        <f t="shared" si="21"/>
        <v>0</v>
      </c>
    </row>
    <row r="124" spans="2:16">
      <c r="B124" s="7" t="str">
        <f t="shared" si="26"/>
        <v/>
      </c>
      <c r="C124" s="50">
        <f>IF(D93="","-",+C123+1)</f>
        <v>2047</v>
      </c>
      <c r="D124" s="12">
        <f>IF(F123+SUM(E$99:E123)=D$92,F123,D$92-SUM(E$99:E123))</f>
        <v>14456</v>
      </c>
      <c r="E124" s="354">
        <f t="shared" si="36"/>
        <v>1023</v>
      </c>
      <c r="F124" s="55">
        <f t="shared" si="37"/>
        <v>13433</v>
      </c>
      <c r="G124" s="55">
        <f t="shared" si="38"/>
        <v>13944.5</v>
      </c>
      <c r="H124" s="436">
        <f t="shared" si="39"/>
        <v>2896.0072482116298</v>
      </c>
      <c r="I124" s="437">
        <f t="shared" si="40"/>
        <v>2896.0072482116298</v>
      </c>
      <c r="J124" s="54">
        <f t="shared" si="22"/>
        <v>0</v>
      </c>
      <c r="K124" s="54"/>
      <c r="L124" s="115"/>
      <c r="M124" s="54">
        <f t="shared" si="19"/>
        <v>0</v>
      </c>
      <c r="N124" s="115"/>
      <c r="O124" s="54">
        <f t="shared" si="20"/>
        <v>0</v>
      </c>
      <c r="P124" s="54">
        <f t="shared" si="21"/>
        <v>0</v>
      </c>
    </row>
    <row r="125" spans="2:16">
      <c r="B125" s="7" t="str">
        <f t="shared" si="26"/>
        <v/>
      </c>
      <c r="C125" s="50">
        <f>IF(D93="","-",+C124+1)</f>
        <v>2048</v>
      </c>
      <c r="D125" s="12">
        <f>IF(F124+SUM(E$99:E124)=D$92,F124,D$92-SUM(E$99:E124))</f>
        <v>13433</v>
      </c>
      <c r="E125" s="354">
        <f t="shared" si="36"/>
        <v>1023</v>
      </c>
      <c r="F125" s="55">
        <f t="shared" si="37"/>
        <v>12410</v>
      </c>
      <c r="G125" s="55">
        <f t="shared" si="38"/>
        <v>12921.5</v>
      </c>
      <c r="H125" s="436">
        <f t="shared" si="39"/>
        <v>2758.5992081298418</v>
      </c>
      <c r="I125" s="437">
        <f t="shared" si="40"/>
        <v>2758.5992081298418</v>
      </c>
      <c r="J125" s="54">
        <f t="shared" si="22"/>
        <v>0</v>
      </c>
      <c r="K125" s="54"/>
      <c r="L125" s="115"/>
      <c r="M125" s="54">
        <f t="shared" si="19"/>
        <v>0</v>
      </c>
      <c r="N125" s="115"/>
      <c r="O125" s="54">
        <f t="shared" si="20"/>
        <v>0</v>
      </c>
      <c r="P125" s="54">
        <f t="shared" si="21"/>
        <v>0</v>
      </c>
    </row>
    <row r="126" spans="2:16">
      <c r="B126" s="7" t="str">
        <f t="shared" si="26"/>
        <v/>
      </c>
      <c r="C126" s="50">
        <f>IF(D93="","-",+C125+1)</f>
        <v>2049</v>
      </c>
      <c r="D126" s="12">
        <f>IF(F125+SUM(E$99:E125)=D$92,F125,D$92-SUM(E$99:E125))</f>
        <v>12410</v>
      </c>
      <c r="E126" s="354">
        <f t="shared" si="36"/>
        <v>1023</v>
      </c>
      <c r="F126" s="55">
        <f t="shared" si="37"/>
        <v>11387</v>
      </c>
      <c r="G126" s="55">
        <f t="shared" si="38"/>
        <v>11898.5</v>
      </c>
      <c r="H126" s="436">
        <f t="shared" si="39"/>
        <v>2621.1911680480534</v>
      </c>
      <c r="I126" s="437">
        <f t="shared" si="40"/>
        <v>2621.1911680480534</v>
      </c>
      <c r="J126" s="54">
        <f t="shared" si="22"/>
        <v>0</v>
      </c>
      <c r="K126" s="54"/>
      <c r="L126" s="115"/>
      <c r="M126" s="54">
        <f t="shared" si="19"/>
        <v>0</v>
      </c>
      <c r="N126" s="115"/>
      <c r="O126" s="54">
        <f t="shared" si="20"/>
        <v>0</v>
      </c>
      <c r="P126" s="54">
        <f t="shared" si="21"/>
        <v>0</v>
      </c>
    </row>
    <row r="127" spans="2:16">
      <c r="B127" s="7" t="str">
        <f t="shared" si="26"/>
        <v/>
      </c>
      <c r="C127" s="50">
        <f>IF(D93="","-",+C126+1)</f>
        <v>2050</v>
      </c>
      <c r="D127" s="12">
        <f>IF(F126+SUM(E$99:E126)=D$92,F126,D$92-SUM(E$99:E126))</f>
        <v>11387</v>
      </c>
      <c r="E127" s="354">
        <f t="shared" si="36"/>
        <v>1023</v>
      </c>
      <c r="F127" s="55">
        <f t="shared" si="37"/>
        <v>10364</v>
      </c>
      <c r="G127" s="55">
        <f t="shared" si="38"/>
        <v>10875.5</v>
      </c>
      <c r="H127" s="436">
        <f t="shared" si="39"/>
        <v>2483.7831279662651</v>
      </c>
      <c r="I127" s="437">
        <f t="shared" si="40"/>
        <v>2483.7831279662651</v>
      </c>
      <c r="J127" s="54">
        <f t="shared" si="22"/>
        <v>0</v>
      </c>
      <c r="K127" s="54"/>
      <c r="L127" s="115"/>
      <c r="M127" s="54">
        <f t="shared" si="19"/>
        <v>0</v>
      </c>
      <c r="N127" s="115"/>
      <c r="O127" s="54">
        <f t="shared" si="20"/>
        <v>0</v>
      </c>
      <c r="P127" s="54">
        <f t="shared" si="21"/>
        <v>0</v>
      </c>
    </row>
    <row r="128" spans="2:16">
      <c r="B128" s="7" t="str">
        <f t="shared" si="26"/>
        <v/>
      </c>
      <c r="C128" s="50">
        <f>IF(D93="","-",+C127+1)</f>
        <v>2051</v>
      </c>
      <c r="D128" s="12">
        <f>IF(F127+SUM(E$99:E127)=D$92,F127,D$92-SUM(E$99:E127))</f>
        <v>10364</v>
      </c>
      <c r="E128" s="354">
        <f t="shared" si="36"/>
        <v>1023</v>
      </c>
      <c r="F128" s="55">
        <f t="shared" si="37"/>
        <v>9341</v>
      </c>
      <c r="G128" s="55">
        <f t="shared" si="38"/>
        <v>9852.5</v>
      </c>
      <c r="H128" s="436">
        <f t="shared" si="39"/>
        <v>2346.3750878844767</v>
      </c>
      <c r="I128" s="437">
        <f t="shared" si="40"/>
        <v>2346.3750878844767</v>
      </c>
      <c r="J128" s="54">
        <f t="shared" si="22"/>
        <v>0</v>
      </c>
      <c r="K128" s="54"/>
      <c r="L128" s="115"/>
      <c r="M128" s="54">
        <f t="shared" si="19"/>
        <v>0</v>
      </c>
      <c r="N128" s="115"/>
      <c r="O128" s="54">
        <f t="shared" si="20"/>
        <v>0</v>
      </c>
      <c r="P128" s="54">
        <f t="shared" si="21"/>
        <v>0</v>
      </c>
    </row>
    <row r="129" spans="2:16">
      <c r="B129" s="7" t="str">
        <f t="shared" si="26"/>
        <v/>
      </c>
      <c r="C129" s="50">
        <f>IF(D93="","-",+C128+1)</f>
        <v>2052</v>
      </c>
      <c r="D129" s="12">
        <f>IF(F128+SUM(E$99:E128)=D$92,F128,D$92-SUM(E$99:E128))</f>
        <v>9341</v>
      </c>
      <c r="E129" s="354">
        <f t="shared" si="36"/>
        <v>1023</v>
      </c>
      <c r="F129" s="55">
        <f t="shared" si="37"/>
        <v>8318</v>
      </c>
      <c r="G129" s="55">
        <f t="shared" si="38"/>
        <v>8829.5</v>
      </c>
      <c r="H129" s="436">
        <f t="shared" si="39"/>
        <v>2208.9670478026883</v>
      </c>
      <c r="I129" s="437">
        <f t="shared" si="40"/>
        <v>2208.9670478026883</v>
      </c>
      <c r="J129" s="54">
        <f t="shared" si="22"/>
        <v>0</v>
      </c>
      <c r="K129" s="54"/>
      <c r="L129" s="115"/>
      <c r="M129" s="54">
        <f t="shared" si="19"/>
        <v>0</v>
      </c>
      <c r="N129" s="115"/>
      <c r="O129" s="54">
        <f t="shared" si="20"/>
        <v>0</v>
      </c>
      <c r="P129" s="54">
        <f t="shared" si="21"/>
        <v>0</v>
      </c>
    </row>
    <row r="130" spans="2:16">
      <c r="B130" s="7" t="str">
        <f t="shared" si="26"/>
        <v/>
      </c>
      <c r="C130" s="50">
        <f>IF(D93="","-",+C129+1)</f>
        <v>2053</v>
      </c>
      <c r="D130" s="12">
        <f>IF(F129+SUM(E$99:E129)=D$92,F129,D$92-SUM(E$99:E129))</f>
        <v>8318</v>
      </c>
      <c r="E130" s="354">
        <f t="shared" si="36"/>
        <v>1023</v>
      </c>
      <c r="F130" s="55">
        <f t="shared" si="37"/>
        <v>7295</v>
      </c>
      <c r="G130" s="55">
        <f t="shared" si="38"/>
        <v>7806.5</v>
      </c>
      <c r="H130" s="436">
        <f t="shared" si="39"/>
        <v>2071.5590077208999</v>
      </c>
      <c r="I130" s="437">
        <f t="shared" si="40"/>
        <v>2071.5590077208999</v>
      </c>
      <c r="J130" s="54">
        <f t="shared" si="22"/>
        <v>0</v>
      </c>
      <c r="K130" s="54"/>
      <c r="L130" s="115"/>
      <c r="M130" s="54">
        <f t="shared" si="19"/>
        <v>0</v>
      </c>
      <c r="N130" s="115"/>
      <c r="O130" s="54">
        <f t="shared" si="20"/>
        <v>0</v>
      </c>
      <c r="P130" s="54">
        <f t="shared" si="21"/>
        <v>0</v>
      </c>
    </row>
    <row r="131" spans="2:16">
      <c r="B131" s="7" t="str">
        <f t="shared" si="26"/>
        <v/>
      </c>
      <c r="C131" s="50">
        <f>IF(D93="","-",+C130+1)</f>
        <v>2054</v>
      </c>
      <c r="D131" s="12">
        <f>IF(F130+SUM(E$99:E130)=D$92,F130,D$92-SUM(E$99:E130))</f>
        <v>7295</v>
      </c>
      <c r="E131" s="354">
        <f t="shared" si="36"/>
        <v>1023</v>
      </c>
      <c r="F131" s="55">
        <f t="shared" si="37"/>
        <v>6272</v>
      </c>
      <c r="G131" s="55">
        <f t="shared" si="38"/>
        <v>6783.5</v>
      </c>
      <c r="H131" s="436">
        <f t="shared" si="39"/>
        <v>1934.1509676391115</v>
      </c>
      <c r="I131" s="437">
        <f t="shared" si="40"/>
        <v>1934.1509676391115</v>
      </c>
      <c r="J131" s="54">
        <f t="shared" ref="J131:J154" si="41">+I540-H540</f>
        <v>0</v>
      </c>
      <c r="K131" s="54"/>
      <c r="L131" s="115"/>
      <c r="M131" s="54">
        <f t="shared" ref="M131:M154" si="42">IF(L540&lt;&gt;0,+H540-L540,0)</f>
        <v>0</v>
      </c>
      <c r="N131" s="115"/>
      <c r="O131" s="54">
        <f t="shared" ref="O131:O154" si="43">IF(N540&lt;&gt;0,+I540-N540,0)</f>
        <v>0</v>
      </c>
      <c r="P131" s="54">
        <f t="shared" ref="P131:P154" si="44">+O540-M540</f>
        <v>0</v>
      </c>
    </row>
    <row r="132" spans="2:16">
      <c r="B132" s="7" t="str">
        <f t="shared" si="26"/>
        <v/>
      </c>
      <c r="C132" s="50">
        <f>IF(D93="","-",+C131+1)</f>
        <v>2055</v>
      </c>
      <c r="D132" s="12">
        <f>IF(F131+SUM(E$99:E131)=D$92,F131,D$92-SUM(E$99:E131))</f>
        <v>6272</v>
      </c>
      <c r="E132" s="354">
        <f t="shared" si="36"/>
        <v>1023</v>
      </c>
      <c r="F132" s="55">
        <f t="shared" si="37"/>
        <v>5249</v>
      </c>
      <c r="G132" s="55">
        <f t="shared" si="38"/>
        <v>5760.5</v>
      </c>
      <c r="H132" s="436">
        <f t="shared" si="39"/>
        <v>1796.7429275573231</v>
      </c>
      <c r="I132" s="437">
        <f t="shared" si="40"/>
        <v>1796.7429275573231</v>
      </c>
      <c r="J132" s="54">
        <f t="shared" si="41"/>
        <v>0</v>
      </c>
      <c r="K132" s="54"/>
      <c r="L132" s="115"/>
      <c r="M132" s="54">
        <f t="shared" si="42"/>
        <v>0</v>
      </c>
      <c r="N132" s="115"/>
      <c r="O132" s="54">
        <f t="shared" si="43"/>
        <v>0</v>
      </c>
      <c r="P132" s="54">
        <f t="shared" si="44"/>
        <v>0</v>
      </c>
    </row>
    <row r="133" spans="2:16">
      <c r="B133" s="7" t="str">
        <f t="shared" si="26"/>
        <v/>
      </c>
      <c r="C133" s="50">
        <f>IF(D93="","-",+C132+1)</f>
        <v>2056</v>
      </c>
      <c r="D133" s="12">
        <f>IF(F132+SUM(E$99:E132)=D$92,F132,D$92-SUM(E$99:E132))</f>
        <v>5249</v>
      </c>
      <c r="E133" s="354">
        <f t="shared" si="36"/>
        <v>1023</v>
      </c>
      <c r="F133" s="55">
        <f t="shared" si="37"/>
        <v>4226</v>
      </c>
      <c r="G133" s="55">
        <f t="shared" si="38"/>
        <v>4737.5</v>
      </c>
      <c r="H133" s="436">
        <f t="shared" si="39"/>
        <v>1659.3348874755347</v>
      </c>
      <c r="I133" s="437">
        <f t="shared" si="40"/>
        <v>1659.3348874755347</v>
      </c>
      <c r="J133" s="54">
        <f t="shared" si="41"/>
        <v>0</v>
      </c>
      <c r="K133" s="54"/>
      <c r="L133" s="115"/>
      <c r="M133" s="54">
        <f t="shared" si="42"/>
        <v>0</v>
      </c>
      <c r="N133" s="115"/>
      <c r="O133" s="54">
        <f t="shared" si="43"/>
        <v>0</v>
      </c>
      <c r="P133" s="54">
        <f t="shared" si="44"/>
        <v>0</v>
      </c>
    </row>
    <row r="134" spans="2:16">
      <c r="B134" s="7" t="str">
        <f t="shared" si="26"/>
        <v/>
      </c>
      <c r="C134" s="50">
        <f>IF(D93="","-",+C133+1)</f>
        <v>2057</v>
      </c>
      <c r="D134" s="12">
        <f>IF(F133+SUM(E$99:E133)=D$92,F133,D$92-SUM(E$99:E133))</f>
        <v>4226</v>
      </c>
      <c r="E134" s="354">
        <f t="shared" si="36"/>
        <v>1023</v>
      </c>
      <c r="F134" s="55">
        <f t="shared" si="37"/>
        <v>3203</v>
      </c>
      <c r="G134" s="55">
        <f t="shared" si="38"/>
        <v>3714.5</v>
      </c>
      <c r="H134" s="436">
        <f t="shared" si="39"/>
        <v>1521.9268473937466</v>
      </c>
      <c r="I134" s="437">
        <f t="shared" si="40"/>
        <v>1521.9268473937466</v>
      </c>
      <c r="J134" s="54">
        <f t="shared" si="41"/>
        <v>0</v>
      </c>
      <c r="K134" s="54"/>
      <c r="L134" s="115"/>
      <c r="M134" s="54">
        <f t="shared" si="42"/>
        <v>0</v>
      </c>
      <c r="N134" s="115"/>
      <c r="O134" s="54">
        <f t="shared" si="43"/>
        <v>0</v>
      </c>
      <c r="P134" s="54">
        <f t="shared" si="44"/>
        <v>0</v>
      </c>
    </row>
    <row r="135" spans="2:16">
      <c r="B135" s="7" t="str">
        <f t="shared" si="26"/>
        <v/>
      </c>
      <c r="C135" s="50">
        <f>IF(D93="","-",+C134+1)</f>
        <v>2058</v>
      </c>
      <c r="D135" s="12">
        <f>IF(F134+SUM(E$99:E134)=D$92,F134,D$92-SUM(E$99:E134))</f>
        <v>3203</v>
      </c>
      <c r="E135" s="354">
        <f t="shared" si="36"/>
        <v>1023</v>
      </c>
      <c r="F135" s="55">
        <f t="shared" si="37"/>
        <v>2180</v>
      </c>
      <c r="G135" s="55">
        <f t="shared" si="38"/>
        <v>2691.5</v>
      </c>
      <c r="H135" s="436">
        <f t="shared" si="39"/>
        <v>1384.5188073119582</v>
      </c>
      <c r="I135" s="437">
        <f t="shared" si="40"/>
        <v>1384.5188073119582</v>
      </c>
      <c r="J135" s="54">
        <f t="shared" si="41"/>
        <v>0</v>
      </c>
      <c r="K135" s="54"/>
      <c r="L135" s="115"/>
      <c r="M135" s="54">
        <f t="shared" si="42"/>
        <v>0</v>
      </c>
      <c r="N135" s="115"/>
      <c r="O135" s="54">
        <f t="shared" si="43"/>
        <v>0</v>
      </c>
      <c r="P135" s="54">
        <f t="shared" si="44"/>
        <v>0</v>
      </c>
    </row>
    <row r="136" spans="2:16">
      <c r="B136" s="7" t="str">
        <f t="shared" si="26"/>
        <v/>
      </c>
      <c r="C136" s="50">
        <f>IF(D93="","-",+C135+1)</f>
        <v>2059</v>
      </c>
      <c r="D136" s="12">
        <f>IF(F135+SUM(E$99:E135)=D$92,F135,D$92-SUM(E$99:E135))</f>
        <v>2180</v>
      </c>
      <c r="E136" s="354">
        <f t="shared" si="36"/>
        <v>1023</v>
      </c>
      <c r="F136" s="55">
        <f t="shared" si="37"/>
        <v>1157</v>
      </c>
      <c r="G136" s="55">
        <f t="shared" si="38"/>
        <v>1668.5</v>
      </c>
      <c r="H136" s="436">
        <f t="shared" si="39"/>
        <v>1247.11076723017</v>
      </c>
      <c r="I136" s="437">
        <f t="shared" si="40"/>
        <v>1247.11076723017</v>
      </c>
      <c r="J136" s="54">
        <f t="shared" si="41"/>
        <v>0</v>
      </c>
      <c r="K136" s="54"/>
      <c r="L136" s="115"/>
      <c r="M136" s="54">
        <f t="shared" si="42"/>
        <v>0</v>
      </c>
      <c r="N136" s="115"/>
      <c r="O136" s="54">
        <f t="shared" si="43"/>
        <v>0</v>
      </c>
      <c r="P136" s="54">
        <f t="shared" si="44"/>
        <v>0</v>
      </c>
    </row>
    <row r="137" spans="2:16">
      <c r="B137" s="7" t="str">
        <f t="shared" si="26"/>
        <v/>
      </c>
      <c r="C137" s="50">
        <f>IF(D93="","-",+C136+1)</f>
        <v>2060</v>
      </c>
      <c r="D137" s="12">
        <f>IF(F136+SUM(E$99:E136)=D$92,F136,D$92-SUM(E$99:E136))</f>
        <v>1157</v>
      </c>
      <c r="E137" s="354">
        <f t="shared" si="36"/>
        <v>1023</v>
      </c>
      <c r="F137" s="55">
        <f t="shared" si="37"/>
        <v>134</v>
      </c>
      <c r="G137" s="55">
        <f t="shared" si="38"/>
        <v>645.5</v>
      </c>
      <c r="H137" s="436">
        <f t="shared" si="39"/>
        <v>1109.7027271483817</v>
      </c>
      <c r="I137" s="437">
        <f t="shared" si="40"/>
        <v>1109.7027271483817</v>
      </c>
      <c r="J137" s="54">
        <f t="shared" si="41"/>
        <v>0</v>
      </c>
      <c r="K137" s="54"/>
      <c r="L137" s="115"/>
      <c r="M137" s="54">
        <f t="shared" si="42"/>
        <v>0</v>
      </c>
      <c r="N137" s="115"/>
      <c r="O137" s="54">
        <f t="shared" si="43"/>
        <v>0</v>
      </c>
      <c r="P137" s="54">
        <f t="shared" si="44"/>
        <v>0</v>
      </c>
    </row>
    <row r="138" spans="2:16">
      <c r="B138" s="7" t="str">
        <f t="shared" si="26"/>
        <v/>
      </c>
      <c r="C138" s="50">
        <f>IF(D93="","-",+C137+1)</f>
        <v>2061</v>
      </c>
      <c r="D138" s="12">
        <f>IF(F137+SUM(E$99:E137)=D$92,F137,D$92-SUM(E$99:E137))</f>
        <v>134</v>
      </c>
      <c r="E138" s="354">
        <f t="shared" si="36"/>
        <v>134</v>
      </c>
      <c r="F138" s="55">
        <f t="shared" si="37"/>
        <v>0</v>
      </c>
      <c r="G138" s="55">
        <f t="shared" si="38"/>
        <v>67</v>
      </c>
      <c r="H138" s="436">
        <f t="shared" si="39"/>
        <v>142.9993535537437</v>
      </c>
      <c r="I138" s="437">
        <f t="shared" si="40"/>
        <v>142.9993535537437</v>
      </c>
      <c r="J138" s="54">
        <f t="shared" si="41"/>
        <v>0</v>
      </c>
      <c r="K138" s="54"/>
      <c r="L138" s="115"/>
      <c r="M138" s="54">
        <f t="shared" si="42"/>
        <v>0</v>
      </c>
      <c r="N138" s="115"/>
      <c r="O138" s="54">
        <f t="shared" si="43"/>
        <v>0</v>
      </c>
      <c r="P138" s="54">
        <f t="shared" si="44"/>
        <v>0</v>
      </c>
    </row>
    <row r="139" spans="2:16">
      <c r="B139" s="7" t="str">
        <f t="shared" si="26"/>
        <v/>
      </c>
      <c r="C139" s="50">
        <f>IF(D93="","-",+C138+1)</f>
        <v>2062</v>
      </c>
      <c r="D139" s="12">
        <f>IF(F138+SUM(E$99:E138)=D$92,F138,D$92-SUM(E$99:E138))</f>
        <v>0</v>
      </c>
      <c r="E139" s="354">
        <f t="shared" si="36"/>
        <v>0</v>
      </c>
      <c r="F139" s="55">
        <f t="shared" si="37"/>
        <v>0</v>
      </c>
      <c r="G139" s="55">
        <f t="shared" si="38"/>
        <v>0</v>
      </c>
      <c r="H139" s="436">
        <f t="shared" si="39"/>
        <v>0</v>
      </c>
      <c r="I139" s="437">
        <f t="shared" si="40"/>
        <v>0</v>
      </c>
      <c r="J139" s="54">
        <f t="shared" si="41"/>
        <v>0</v>
      </c>
      <c r="K139" s="54"/>
      <c r="L139" s="115"/>
      <c r="M139" s="54">
        <f t="shared" si="42"/>
        <v>0</v>
      </c>
      <c r="N139" s="115"/>
      <c r="O139" s="54">
        <f t="shared" si="43"/>
        <v>0</v>
      </c>
      <c r="P139" s="54">
        <f t="shared" si="44"/>
        <v>0</v>
      </c>
    </row>
    <row r="140" spans="2:16">
      <c r="B140" s="7" t="str">
        <f t="shared" si="26"/>
        <v/>
      </c>
      <c r="C140" s="50">
        <f>IF(D93="","-",+C139+1)</f>
        <v>2063</v>
      </c>
      <c r="D140" s="12">
        <f>IF(F139+SUM(E$99:E139)=D$92,F139,D$92-SUM(E$99:E139))</f>
        <v>0</v>
      </c>
      <c r="E140" s="354">
        <f t="shared" si="36"/>
        <v>0</v>
      </c>
      <c r="F140" s="55">
        <f t="shared" si="37"/>
        <v>0</v>
      </c>
      <c r="G140" s="55">
        <f t="shared" si="38"/>
        <v>0</v>
      </c>
      <c r="H140" s="436">
        <f t="shared" si="39"/>
        <v>0</v>
      </c>
      <c r="I140" s="437">
        <f t="shared" si="40"/>
        <v>0</v>
      </c>
      <c r="J140" s="54">
        <f t="shared" si="41"/>
        <v>0</v>
      </c>
      <c r="K140" s="54"/>
      <c r="L140" s="115"/>
      <c r="M140" s="54">
        <f t="shared" si="42"/>
        <v>0</v>
      </c>
      <c r="N140" s="115"/>
      <c r="O140" s="54">
        <f t="shared" si="43"/>
        <v>0</v>
      </c>
      <c r="P140" s="54">
        <f t="shared" si="44"/>
        <v>0</v>
      </c>
    </row>
    <row r="141" spans="2:16">
      <c r="B141" s="7" t="str">
        <f t="shared" si="26"/>
        <v/>
      </c>
      <c r="C141" s="50">
        <f>IF(D93="","-",+C140+1)</f>
        <v>2064</v>
      </c>
      <c r="D141" s="12">
        <f>IF(F140+SUM(E$99:E140)=D$92,F140,D$92-SUM(E$99:E140))</f>
        <v>0</v>
      </c>
      <c r="E141" s="354">
        <f t="shared" si="36"/>
        <v>0</v>
      </c>
      <c r="F141" s="55">
        <f t="shared" si="37"/>
        <v>0</v>
      </c>
      <c r="G141" s="55">
        <f t="shared" si="38"/>
        <v>0</v>
      </c>
      <c r="H141" s="436">
        <f t="shared" si="39"/>
        <v>0</v>
      </c>
      <c r="I141" s="437">
        <f t="shared" si="40"/>
        <v>0</v>
      </c>
      <c r="J141" s="54">
        <f t="shared" si="41"/>
        <v>0</v>
      </c>
      <c r="K141" s="54"/>
      <c r="L141" s="115"/>
      <c r="M141" s="54">
        <f t="shared" si="42"/>
        <v>0</v>
      </c>
      <c r="N141" s="115"/>
      <c r="O141" s="54">
        <f t="shared" si="43"/>
        <v>0</v>
      </c>
      <c r="P141" s="54">
        <f t="shared" si="44"/>
        <v>0</v>
      </c>
    </row>
    <row r="142" spans="2:16">
      <c r="B142" s="7" t="str">
        <f t="shared" si="26"/>
        <v/>
      </c>
      <c r="C142" s="50">
        <f>IF(D93="","-",+C141+1)</f>
        <v>2065</v>
      </c>
      <c r="D142" s="12">
        <f>IF(F141+SUM(E$99:E141)=D$92,F141,D$92-SUM(E$99:E141))</f>
        <v>0</v>
      </c>
      <c r="E142" s="354">
        <f t="shared" si="36"/>
        <v>0</v>
      </c>
      <c r="F142" s="55">
        <f t="shared" si="37"/>
        <v>0</v>
      </c>
      <c r="G142" s="55">
        <f t="shared" si="38"/>
        <v>0</v>
      </c>
      <c r="H142" s="436">
        <f t="shared" si="39"/>
        <v>0</v>
      </c>
      <c r="I142" s="437">
        <f t="shared" si="40"/>
        <v>0</v>
      </c>
      <c r="J142" s="54">
        <f t="shared" si="41"/>
        <v>0</v>
      </c>
      <c r="K142" s="54"/>
      <c r="L142" s="115"/>
      <c r="M142" s="54">
        <f t="shared" si="42"/>
        <v>0</v>
      </c>
      <c r="N142" s="115"/>
      <c r="O142" s="54">
        <f t="shared" si="43"/>
        <v>0</v>
      </c>
      <c r="P142" s="54">
        <f t="shared" si="44"/>
        <v>0</v>
      </c>
    </row>
    <row r="143" spans="2:16">
      <c r="B143" s="7" t="str">
        <f t="shared" si="26"/>
        <v/>
      </c>
      <c r="C143" s="50">
        <f>IF(D93="","-",+C142+1)</f>
        <v>2066</v>
      </c>
      <c r="D143" s="12">
        <f>IF(F142+SUM(E$99:E142)=D$92,F142,D$92-SUM(E$99:E142))</f>
        <v>0</v>
      </c>
      <c r="E143" s="354">
        <f t="shared" si="36"/>
        <v>0</v>
      </c>
      <c r="F143" s="55">
        <f t="shared" si="37"/>
        <v>0</v>
      </c>
      <c r="G143" s="55">
        <f t="shared" si="38"/>
        <v>0</v>
      </c>
      <c r="H143" s="436">
        <f t="shared" si="39"/>
        <v>0</v>
      </c>
      <c r="I143" s="437">
        <f t="shared" si="40"/>
        <v>0</v>
      </c>
      <c r="J143" s="54">
        <f t="shared" si="41"/>
        <v>0</v>
      </c>
      <c r="K143" s="54"/>
      <c r="L143" s="115"/>
      <c r="M143" s="54">
        <f t="shared" si="42"/>
        <v>0</v>
      </c>
      <c r="N143" s="115"/>
      <c r="O143" s="54">
        <f t="shared" si="43"/>
        <v>0</v>
      </c>
      <c r="P143" s="54">
        <f t="shared" si="44"/>
        <v>0</v>
      </c>
    </row>
    <row r="144" spans="2:16">
      <c r="B144" s="7" t="str">
        <f t="shared" si="26"/>
        <v/>
      </c>
      <c r="C144" s="50">
        <f>IF(D93="","-",+C143+1)</f>
        <v>2067</v>
      </c>
      <c r="D144" s="12">
        <f>IF(F143+SUM(E$99:E143)=D$92,F143,D$92-SUM(E$99:E143))</f>
        <v>0</v>
      </c>
      <c r="E144" s="354">
        <f t="shared" si="36"/>
        <v>0</v>
      </c>
      <c r="F144" s="55">
        <f t="shared" si="37"/>
        <v>0</v>
      </c>
      <c r="G144" s="55">
        <f t="shared" si="38"/>
        <v>0</v>
      </c>
      <c r="H144" s="436">
        <f t="shared" si="39"/>
        <v>0</v>
      </c>
      <c r="I144" s="437">
        <f t="shared" si="40"/>
        <v>0</v>
      </c>
      <c r="J144" s="54">
        <f t="shared" si="41"/>
        <v>0</v>
      </c>
      <c r="K144" s="54"/>
      <c r="L144" s="115"/>
      <c r="M144" s="54">
        <f t="shared" si="42"/>
        <v>0</v>
      </c>
      <c r="N144" s="115"/>
      <c r="O144" s="54">
        <f t="shared" si="43"/>
        <v>0</v>
      </c>
      <c r="P144" s="54">
        <f t="shared" si="44"/>
        <v>0</v>
      </c>
    </row>
    <row r="145" spans="2:16">
      <c r="B145" s="7" t="str">
        <f t="shared" si="26"/>
        <v/>
      </c>
      <c r="C145" s="50">
        <f>IF(D93="","-",+C144+1)</f>
        <v>2068</v>
      </c>
      <c r="D145" s="12">
        <f>IF(F144+SUM(E$99:E144)=D$92,F144,D$92-SUM(E$99:E144))</f>
        <v>0</v>
      </c>
      <c r="E145" s="354">
        <f t="shared" si="36"/>
        <v>0</v>
      </c>
      <c r="F145" s="55">
        <f t="shared" si="37"/>
        <v>0</v>
      </c>
      <c r="G145" s="55">
        <f t="shared" si="38"/>
        <v>0</v>
      </c>
      <c r="H145" s="436">
        <f t="shared" si="39"/>
        <v>0</v>
      </c>
      <c r="I145" s="437">
        <f t="shared" si="40"/>
        <v>0</v>
      </c>
      <c r="J145" s="54">
        <f t="shared" si="41"/>
        <v>0</v>
      </c>
      <c r="K145" s="54"/>
      <c r="L145" s="115"/>
      <c r="M145" s="54">
        <f t="shared" si="42"/>
        <v>0</v>
      </c>
      <c r="N145" s="115"/>
      <c r="O145" s="54">
        <f t="shared" si="43"/>
        <v>0</v>
      </c>
      <c r="P145" s="54">
        <f t="shared" si="44"/>
        <v>0</v>
      </c>
    </row>
    <row r="146" spans="2:16">
      <c r="B146" s="7" t="str">
        <f t="shared" si="26"/>
        <v/>
      </c>
      <c r="C146" s="50">
        <f>IF(D93="","-",+C145+1)</f>
        <v>2069</v>
      </c>
      <c r="D146" s="12">
        <f>IF(F145+SUM(E$99:E145)=D$92,F145,D$92-SUM(E$99:E145))</f>
        <v>0</v>
      </c>
      <c r="E146" s="354">
        <f t="shared" si="36"/>
        <v>0</v>
      </c>
      <c r="F146" s="55">
        <f t="shared" si="37"/>
        <v>0</v>
      </c>
      <c r="G146" s="55">
        <f t="shared" si="38"/>
        <v>0</v>
      </c>
      <c r="H146" s="436">
        <f t="shared" si="39"/>
        <v>0</v>
      </c>
      <c r="I146" s="437">
        <f t="shared" si="40"/>
        <v>0</v>
      </c>
      <c r="J146" s="54">
        <f t="shared" si="41"/>
        <v>0</v>
      </c>
      <c r="K146" s="54"/>
      <c r="L146" s="115"/>
      <c r="M146" s="54">
        <f t="shared" si="42"/>
        <v>0</v>
      </c>
      <c r="N146" s="115"/>
      <c r="O146" s="54">
        <f t="shared" si="43"/>
        <v>0</v>
      </c>
      <c r="P146" s="54">
        <f t="shared" si="44"/>
        <v>0</v>
      </c>
    </row>
    <row r="147" spans="2:16">
      <c r="B147" s="7" t="str">
        <f t="shared" si="26"/>
        <v/>
      </c>
      <c r="C147" s="50">
        <f>IF(D93="","-",+C146+1)</f>
        <v>2070</v>
      </c>
      <c r="D147" s="12">
        <f>IF(F146+SUM(E$99:E146)=D$92,F146,D$92-SUM(E$99:E146))</f>
        <v>0</v>
      </c>
      <c r="E147" s="354">
        <f t="shared" si="36"/>
        <v>0</v>
      </c>
      <c r="F147" s="55">
        <f t="shared" si="37"/>
        <v>0</v>
      </c>
      <c r="G147" s="55">
        <f t="shared" si="38"/>
        <v>0</v>
      </c>
      <c r="H147" s="436">
        <f t="shared" si="39"/>
        <v>0</v>
      </c>
      <c r="I147" s="437">
        <f t="shared" si="40"/>
        <v>0</v>
      </c>
      <c r="J147" s="54">
        <f t="shared" si="41"/>
        <v>0</v>
      </c>
      <c r="K147" s="54"/>
      <c r="L147" s="115"/>
      <c r="M147" s="54">
        <f t="shared" si="42"/>
        <v>0</v>
      </c>
      <c r="N147" s="115"/>
      <c r="O147" s="54">
        <f t="shared" si="43"/>
        <v>0</v>
      </c>
      <c r="P147" s="54">
        <f t="shared" si="44"/>
        <v>0</v>
      </c>
    </row>
    <row r="148" spans="2:16">
      <c r="B148" s="7" t="str">
        <f t="shared" si="26"/>
        <v/>
      </c>
      <c r="C148" s="50">
        <f>IF(D93="","-",+C147+1)</f>
        <v>2071</v>
      </c>
      <c r="D148" s="12">
        <f>IF(F147+SUM(E$99:E147)=D$92,F147,D$92-SUM(E$99:E147))</f>
        <v>0</v>
      </c>
      <c r="E148" s="354">
        <f t="shared" si="36"/>
        <v>0</v>
      </c>
      <c r="F148" s="55">
        <f t="shared" si="37"/>
        <v>0</v>
      </c>
      <c r="G148" s="55">
        <f t="shared" si="38"/>
        <v>0</v>
      </c>
      <c r="H148" s="436">
        <f t="shared" si="39"/>
        <v>0</v>
      </c>
      <c r="I148" s="437">
        <f t="shared" si="40"/>
        <v>0</v>
      </c>
      <c r="J148" s="54">
        <f t="shared" si="41"/>
        <v>0</v>
      </c>
      <c r="K148" s="54"/>
      <c r="L148" s="115"/>
      <c r="M148" s="54">
        <f t="shared" si="42"/>
        <v>0</v>
      </c>
      <c r="N148" s="115"/>
      <c r="O148" s="54">
        <f t="shared" si="43"/>
        <v>0</v>
      </c>
      <c r="P148" s="54">
        <f t="shared" si="44"/>
        <v>0</v>
      </c>
    </row>
    <row r="149" spans="2:16">
      <c r="B149" s="7" t="str">
        <f t="shared" si="26"/>
        <v/>
      </c>
      <c r="C149" s="50">
        <f>IF(D93="","-",+C148+1)</f>
        <v>2072</v>
      </c>
      <c r="D149" s="12">
        <f>IF(F148+SUM(E$99:E148)=D$92,F148,D$92-SUM(E$99:E148))</f>
        <v>0</v>
      </c>
      <c r="E149" s="354">
        <f t="shared" si="36"/>
        <v>0</v>
      </c>
      <c r="F149" s="55">
        <f t="shared" si="37"/>
        <v>0</v>
      </c>
      <c r="G149" s="55">
        <f t="shared" si="38"/>
        <v>0</v>
      </c>
      <c r="H149" s="436">
        <f t="shared" si="39"/>
        <v>0</v>
      </c>
      <c r="I149" s="437">
        <f t="shared" si="40"/>
        <v>0</v>
      </c>
      <c r="J149" s="54">
        <f t="shared" si="41"/>
        <v>0</v>
      </c>
      <c r="K149" s="54"/>
      <c r="L149" s="115"/>
      <c r="M149" s="54">
        <f t="shared" si="42"/>
        <v>0</v>
      </c>
      <c r="N149" s="115"/>
      <c r="O149" s="54">
        <f t="shared" si="43"/>
        <v>0</v>
      </c>
      <c r="P149" s="54">
        <f t="shared" si="44"/>
        <v>0</v>
      </c>
    </row>
    <row r="150" spans="2:16">
      <c r="B150" s="7" t="str">
        <f t="shared" si="26"/>
        <v/>
      </c>
      <c r="C150" s="50">
        <f>IF(D93="","-",+C149+1)</f>
        <v>2073</v>
      </c>
      <c r="D150" s="12">
        <f>IF(F149+SUM(E$99:E149)=D$92,F149,D$92-SUM(E$99:E149))</f>
        <v>0</v>
      </c>
      <c r="E150" s="354">
        <f t="shared" si="36"/>
        <v>0</v>
      </c>
      <c r="F150" s="55">
        <f t="shared" si="37"/>
        <v>0</v>
      </c>
      <c r="G150" s="55">
        <f t="shared" si="38"/>
        <v>0</v>
      </c>
      <c r="H150" s="436">
        <f t="shared" si="39"/>
        <v>0</v>
      </c>
      <c r="I150" s="437">
        <f t="shared" si="40"/>
        <v>0</v>
      </c>
      <c r="J150" s="54">
        <f t="shared" si="41"/>
        <v>0</v>
      </c>
      <c r="K150" s="54"/>
      <c r="L150" s="115"/>
      <c r="M150" s="54">
        <f t="shared" si="42"/>
        <v>0</v>
      </c>
      <c r="N150" s="115"/>
      <c r="O150" s="54">
        <f t="shared" si="43"/>
        <v>0</v>
      </c>
      <c r="P150" s="54">
        <f t="shared" si="44"/>
        <v>0</v>
      </c>
    </row>
    <row r="151" spans="2:16">
      <c r="B151" s="7" t="str">
        <f t="shared" si="26"/>
        <v/>
      </c>
      <c r="C151" s="50">
        <f>IF(D93="","-",+C150+1)</f>
        <v>2074</v>
      </c>
      <c r="D151" s="12">
        <f>IF(F150+SUM(E$99:E150)=D$92,F150,D$92-SUM(E$99:E150))</f>
        <v>0</v>
      </c>
      <c r="E151" s="354">
        <f t="shared" si="36"/>
        <v>0</v>
      </c>
      <c r="F151" s="55">
        <f t="shared" si="37"/>
        <v>0</v>
      </c>
      <c r="G151" s="55">
        <f t="shared" si="38"/>
        <v>0</v>
      </c>
      <c r="H151" s="436">
        <f t="shared" si="39"/>
        <v>0</v>
      </c>
      <c r="I151" s="437">
        <f t="shared" si="40"/>
        <v>0</v>
      </c>
      <c r="J151" s="54">
        <f t="shared" si="41"/>
        <v>0</v>
      </c>
      <c r="K151" s="54"/>
      <c r="L151" s="115"/>
      <c r="M151" s="54">
        <f t="shared" si="42"/>
        <v>0</v>
      </c>
      <c r="N151" s="115"/>
      <c r="O151" s="54">
        <f t="shared" si="43"/>
        <v>0</v>
      </c>
      <c r="P151" s="54">
        <f t="shared" si="44"/>
        <v>0</v>
      </c>
    </row>
    <row r="152" spans="2:16">
      <c r="B152" s="7" t="str">
        <f t="shared" si="26"/>
        <v/>
      </c>
      <c r="C152" s="50">
        <f>IF(D93="","-",+C151+1)</f>
        <v>2075</v>
      </c>
      <c r="D152" s="12">
        <f>IF(F151+SUM(E$99:E151)=D$92,F151,D$92-SUM(E$99:E151))</f>
        <v>0</v>
      </c>
      <c r="E152" s="354">
        <f t="shared" si="36"/>
        <v>0</v>
      </c>
      <c r="F152" s="55">
        <f t="shared" si="37"/>
        <v>0</v>
      </c>
      <c r="G152" s="55">
        <f t="shared" si="38"/>
        <v>0</v>
      </c>
      <c r="H152" s="436">
        <f t="shared" si="39"/>
        <v>0</v>
      </c>
      <c r="I152" s="437">
        <f t="shared" si="40"/>
        <v>0</v>
      </c>
      <c r="J152" s="54">
        <f t="shared" si="41"/>
        <v>0</v>
      </c>
      <c r="K152" s="54"/>
      <c r="L152" s="115"/>
      <c r="M152" s="54">
        <f t="shared" si="42"/>
        <v>0</v>
      </c>
      <c r="N152" s="115"/>
      <c r="O152" s="54">
        <f t="shared" si="43"/>
        <v>0</v>
      </c>
      <c r="P152" s="54">
        <f t="shared" si="44"/>
        <v>0</v>
      </c>
    </row>
    <row r="153" spans="2:16">
      <c r="B153" s="7" t="str">
        <f t="shared" si="26"/>
        <v/>
      </c>
      <c r="C153" s="50">
        <f>IF(D93="","-",+C152+1)</f>
        <v>2076</v>
      </c>
      <c r="D153" s="12">
        <f>IF(F152+SUM(E$99:E152)=D$92,F152,D$92-SUM(E$99:E152))</f>
        <v>0</v>
      </c>
      <c r="E153" s="354">
        <f t="shared" si="36"/>
        <v>0</v>
      </c>
      <c r="F153" s="55">
        <f t="shared" si="37"/>
        <v>0</v>
      </c>
      <c r="G153" s="55">
        <f t="shared" si="38"/>
        <v>0</v>
      </c>
      <c r="H153" s="436">
        <f t="shared" si="39"/>
        <v>0</v>
      </c>
      <c r="I153" s="437">
        <f t="shared" si="40"/>
        <v>0</v>
      </c>
      <c r="J153" s="54">
        <f t="shared" si="41"/>
        <v>0</v>
      </c>
      <c r="K153" s="54"/>
      <c r="L153" s="115"/>
      <c r="M153" s="54">
        <f t="shared" si="42"/>
        <v>0</v>
      </c>
      <c r="N153" s="115"/>
      <c r="O153" s="54">
        <f t="shared" si="43"/>
        <v>0</v>
      </c>
      <c r="P153" s="54">
        <f t="shared" si="44"/>
        <v>0</v>
      </c>
    </row>
    <row r="154" spans="2:16" ht="13" thickBot="1">
      <c r="B154" s="7" t="str">
        <f t="shared" si="26"/>
        <v/>
      </c>
      <c r="C154" s="58">
        <f>IF(D93="","-",+C153+1)</f>
        <v>2077</v>
      </c>
      <c r="D154" s="82">
        <f>IF(F153+SUM(E$99:E153)=D$92,F153,D$92-SUM(E$99:E153))</f>
        <v>0</v>
      </c>
      <c r="E154" s="357">
        <f t="shared" si="36"/>
        <v>0</v>
      </c>
      <c r="F154" s="59">
        <f t="shared" si="37"/>
        <v>0</v>
      </c>
      <c r="G154" s="59">
        <f t="shared" si="38"/>
        <v>0</v>
      </c>
      <c r="H154" s="438">
        <f t="shared" si="39"/>
        <v>0</v>
      </c>
      <c r="I154" s="439">
        <f t="shared" si="40"/>
        <v>0</v>
      </c>
      <c r="J154" s="62">
        <f t="shared" si="41"/>
        <v>0</v>
      </c>
      <c r="K154" s="54"/>
      <c r="L154" s="116"/>
      <c r="M154" s="62">
        <f t="shared" si="42"/>
        <v>0</v>
      </c>
      <c r="N154" s="116"/>
      <c r="O154" s="62">
        <f t="shared" si="43"/>
        <v>0</v>
      </c>
      <c r="P154" s="62">
        <f t="shared" si="44"/>
        <v>0</v>
      </c>
    </row>
    <row r="155" spans="2:16">
      <c r="C155" s="12" t="s">
        <v>77</v>
      </c>
      <c r="D155" s="267"/>
      <c r="E155" s="267">
        <f>SUM(E99:E154)</f>
        <v>37863</v>
      </c>
      <c r="F155" s="267"/>
      <c r="G155" s="267"/>
      <c r="H155" s="267">
        <f>SUM(H99:H154)</f>
        <v>133192.00611198411</v>
      </c>
      <c r="I155" s="267">
        <f>SUM(I99:I154)</f>
        <v>133192.00611198411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162"/>
  <sheetViews>
    <sheetView topLeftCell="A128" zoomScale="80" zoomScaleNormal="80" workbookViewId="0">
      <selection activeCell="C13" sqref="C13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30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236660.44093925093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236660.44093925093</v>
      </c>
      <c r="O6" s="1"/>
      <c r="P6" s="1"/>
    </row>
    <row r="7" spans="1:16" ht="13.5" thickBot="1">
      <c r="C7" s="26" t="s">
        <v>46</v>
      </c>
      <c r="D7" s="440" t="s">
        <v>371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3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372</v>
      </c>
      <c r="E9" s="442" t="s">
        <v>373</v>
      </c>
      <c r="F9" s="32"/>
      <c r="G9" s="452" t="s">
        <v>416</v>
      </c>
      <c r="H9" s="32"/>
      <c r="I9" s="33"/>
      <c r="J9" s="34"/>
      <c r="P9" s="1"/>
    </row>
    <row r="10" spans="1:16" ht="13">
      <c r="C10" s="128" t="s">
        <v>226</v>
      </c>
      <c r="D10" s="336">
        <v>1822797.3900000001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>
      <c r="C11" s="37" t="s">
        <v>53</v>
      </c>
      <c r="D11" s="38">
        <v>2021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6">
        <v>11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47968.35236842106</v>
      </c>
      <c r="J14" s="267"/>
      <c r="K14" s="267"/>
      <c r="L14" s="267"/>
      <c r="M14" s="267"/>
      <c r="N14" s="267"/>
      <c r="O14" s="1"/>
      <c r="P14" s="1"/>
    </row>
    <row r="15" spans="1:16" ht="39.5" thickBot="1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38" t="s">
        <v>76</v>
      </c>
      <c r="L16" s="455" t="s">
        <v>76</v>
      </c>
      <c r="M16" s="338" t="s">
        <v>105</v>
      </c>
      <c r="N16" s="456" t="s">
        <v>105</v>
      </c>
      <c r="O16" s="457" t="s">
        <v>105</v>
      </c>
      <c r="P16" s="1"/>
    </row>
    <row r="17" spans="2:16">
      <c r="B17" s="7"/>
      <c r="C17" s="50">
        <f>IF(D11= "","-",D11)</f>
        <v>2021</v>
      </c>
      <c r="D17" s="411">
        <v>0</v>
      </c>
      <c r="E17" s="412">
        <v>0</v>
      </c>
      <c r="F17" s="411">
        <v>1613510.2261904762</v>
      </c>
      <c r="G17" s="412">
        <v>0</v>
      </c>
      <c r="H17" s="414">
        <v>0</v>
      </c>
      <c r="I17" s="52">
        <f>H17-G17</f>
        <v>0</v>
      </c>
      <c r="J17" s="52"/>
      <c r="K17" s="324">
        <f>+G17</f>
        <v>0</v>
      </c>
      <c r="L17" s="54">
        <f t="shared" ref="L17:L72" si="0">IF(K17&lt;&gt;0,+G17-K17,0)</f>
        <v>0</v>
      </c>
      <c r="M17" s="324">
        <f>+H17</f>
        <v>0</v>
      </c>
      <c r="N17" s="54">
        <f t="shared" ref="N17:N72" si="1">IF(M17&lt;&gt;0,+H17-M17,0)</f>
        <v>0</v>
      </c>
      <c r="O17" s="54">
        <f t="shared" ref="O17:O72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2022</v>
      </c>
      <c r="D18" s="411">
        <v>1865411</v>
      </c>
      <c r="E18" s="412">
        <v>47831.051282051281</v>
      </c>
      <c r="F18" s="411">
        <v>1817579.9487179487</v>
      </c>
      <c r="G18" s="412">
        <v>267630.01874077739</v>
      </c>
      <c r="H18" s="414">
        <v>267630.01874077739</v>
      </c>
      <c r="I18" s="52">
        <f>H18-G18</f>
        <v>0</v>
      </c>
      <c r="J18" s="52"/>
      <c r="K18" s="324">
        <f>+G18</f>
        <v>267630.01874077739</v>
      </c>
      <c r="L18" s="54">
        <f t="shared" ref="L18:L19" si="3">IF(K18&lt;&gt;0,+G18-K18,0)</f>
        <v>0</v>
      </c>
      <c r="M18" s="324">
        <f>+H18</f>
        <v>267630.01874077739</v>
      </c>
      <c r="N18" s="54">
        <f t="shared" ref="N18:N19" si="4">IF(M18&lt;&gt;0,+H18-M18,0)</f>
        <v>0</v>
      </c>
      <c r="O18" s="54">
        <f t="shared" ref="O18:O19" si="5">+N18-L18</f>
        <v>0</v>
      </c>
      <c r="P18" s="1"/>
    </row>
    <row r="19" spans="2:16">
      <c r="B19" s="7" t="str">
        <f>IF(D19=F18,"","IU")</f>
        <v/>
      </c>
      <c r="C19" s="50">
        <f>IF(D11="","-",+C18+1)</f>
        <v>2023</v>
      </c>
      <c r="D19" s="411">
        <v>1817579.9487179487</v>
      </c>
      <c r="E19" s="412">
        <v>47831.051282051281</v>
      </c>
      <c r="F19" s="411">
        <v>1769748.8974358975</v>
      </c>
      <c r="G19" s="412">
        <v>261920.95465094032</v>
      </c>
      <c r="H19" s="414">
        <v>261920.95465094032</v>
      </c>
      <c r="I19" s="52">
        <f t="shared" ref="I19:I71" si="6">H19-G19</f>
        <v>0</v>
      </c>
      <c r="J19" s="52"/>
      <c r="K19" s="324">
        <f>+G19</f>
        <v>261920.95465094032</v>
      </c>
      <c r="L19" s="54">
        <f t="shared" si="3"/>
        <v>0</v>
      </c>
      <c r="M19" s="324">
        <f>+H19</f>
        <v>261920.95465094032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450">
        <f>IF(D11="","-",+C19+1)</f>
        <v>2024</v>
      </c>
      <c r="D20" s="411">
        <v>1726886.8974358975</v>
      </c>
      <c r="E20" s="412">
        <v>47961.815789473687</v>
      </c>
      <c r="F20" s="411">
        <v>1678925.0816464238</v>
      </c>
      <c r="G20" s="412">
        <v>241650.66247029093</v>
      </c>
      <c r="H20" s="414">
        <v>241650.66247029093</v>
      </c>
      <c r="I20" s="52">
        <f t="shared" si="6"/>
        <v>0</v>
      </c>
      <c r="J20" s="52"/>
      <c r="K20" s="324">
        <f>+G20</f>
        <v>241650.66247029093</v>
      </c>
      <c r="L20" s="54">
        <f t="shared" ref="L20" si="8">IF(K20&lt;&gt;0,+G20-K20,0)</f>
        <v>0</v>
      </c>
      <c r="M20" s="324">
        <f>+H20</f>
        <v>241650.66247029093</v>
      </c>
      <c r="N20" s="54">
        <f t="shared" ref="N20" si="9">IF(M20&lt;&gt;0,+H20-M20,0)</f>
        <v>0</v>
      </c>
      <c r="O20" s="54">
        <f t="shared" ref="O20" si="10">+N20-L20</f>
        <v>0</v>
      </c>
      <c r="P20" s="1"/>
    </row>
    <row r="21" spans="2:16" ht="13">
      <c r="B21" s="7" t="str">
        <f t="shared" si="7"/>
        <v>IU</v>
      </c>
      <c r="C21" s="449">
        <f>IF(D11="","-",+C20+1)</f>
        <v>2025</v>
      </c>
      <c r="D21" s="411">
        <v>1679173.0816464238</v>
      </c>
      <c r="E21" s="412">
        <v>47968.34210526316</v>
      </c>
      <c r="F21" s="411">
        <v>1631204.7395411606</v>
      </c>
      <c r="G21" s="412">
        <v>236008.55145747482</v>
      </c>
      <c r="H21" s="414">
        <v>236008.55145747482</v>
      </c>
      <c r="I21" s="52">
        <f t="shared" si="6"/>
        <v>0</v>
      </c>
      <c r="J21" s="52"/>
      <c r="K21" s="324">
        <f>+G21</f>
        <v>236008.55145747482</v>
      </c>
      <c r="L21" s="54">
        <f t="shared" ref="L21" si="11">IF(K21&lt;&gt;0,+G21-K21,0)</f>
        <v>0</v>
      </c>
      <c r="M21" s="324">
        <f>+H21</f>
        <v>236008.55145747482</v>
      </c>
      <c r="N21" s="54">
        <f t="shared" ref="N21" si="12">IF(M21&lt;&gt;0,+H21-M21,0)</f>
        <v>0</v>
      </c>
      <c r="O21" s="54">
        <f t="shared" ref="O21" si="13">+N21-L21</f>
        <v>0</v>
      </c>
      <c r="P21" s="1"/>
    </row>
    <row r="22" spans="2:16">
      <c r="B22" s="7" t="str">
        <f t="shared" si="7"/>
        <v>IU</v>
      </c>
      <c r="C22" s="50">
        <f>IF(D11="","-",+C21+1)</f>
        <v>2026</v>
      </c>
      <c r="D22" s="55">
        <f>IF(F21+SUM(E$17:E21)=D$10,F21,D$10-SUM(E$17:E21))</f>
        <v>1631205.1295411608</v>
      </c>
      <c r="E22" s="56">
        <f t="shared" ref="E22:E71" si="14">IF(+I$14&lt;F21,I$14,D22)</f>
        <v>47968.35236842106</v>
      </c>
      <c r="F22" s="55">
        <f t="shared" ref="F22:F71" si="15">+D22-E22</f>
        <v>1583236.7771727396</v>
      </c>
      <c r="G22" s="57">
        <f t="shared" ref="G22:G71" si="16">(D22+F22)/2*I$12+E22</f>
        <v>236660.44093925093</v>
      </c>
      <c r="H22" s="42">
        <f t="shared" ref="H22:H71" si="17">+(D22+F22)/2*I$13+E22</f>
        <v>236660.44093925093</v>
      </c>
      <c r="I22" s="52">
        <f t="shared" si="6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>
      <c r="B23" s="7" t="str">
        <f t="shared" si="7"/>
        <v/>
      </c>
      <c r="C23" s="50">
        <f>IF(D11="","-",+C22+1)</f>
        <v>2027</v>
      </c>
      <c r="D23" s="55">
        <f>IF(F22+SUM(E$17:E22)=D$10,F22,D$10-SUM(E$17:E22))</f>
        <v>1583236.7771727396</v>
      </c>
      <c r="E23" s="56">
        <f t="shared" si="14"/>
        <v>47968.35236842106</v>
      </c>
      <c r="F23" s="55">
        <f t="shared" si="15"/>
        <v>1535268.4248043185</v>
      </c>
      <c r="G23" s="57">
        <f t="shared" si="16"/>
        <v>231028.8265835559</v>
      </c>
      <c r="H23" s="42">
        <f t="shared" si="17"/>
        <v>231028.8265835559</v>
      </c>
      <c r="I23" s="52">
        <f t="shared" si="6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>
      <c r="B24" s="7" t="str">
        <f t="shared" si="7"/>
        <v/>
      </c>
      <c r="C24" s="50">
        <f>IF(D11="","-",+C23+1)</f>
        <v>2028</v>
      </c>
      <c r="D24" s="55">
        <f>IF(F23+SUM(E$17:E23)=D$10,F23,D$10-SUM(E$17:E23))</f>
        <v>1535268.4248043185</v>
      </c>
      <c r="E24" s="56">
        <f t="shared" si="14"/>
        <v>47968.35236842106</v>
      </c>
      <c r="F24" s="55">
        <f t="shared" si="15"/>
        <v>1487300.0724358973</v>
      </c>
      <c r="G24" s="57">
        <f t="shared" si="16"/>
        <v>225397.21222786081</v>
      </c>
      <c r="H24" s="42">
        <f t="shared" si="17"/>
        <v>225397.21222786081</v>
      </c>
      <c r="I24" s="52">
        <f t="shared" si="6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>
      <c r="B25" s="7" t="str">
        <f t="shared" si="7"/>
        <v/>
      </c>
      <c r="C25" s="50">
        <f>IF(D11="","-",+C24+1)</f>
        <v>2029</v>
      </c>
      <c r="D25" s="55">
        <f>IF(F24+SUM(E$17:E24)=D$10,F24,D$10-SUM(E$17:E24))</f>
        <v>1487300.0724358973</v>
      </c>
      <c r="E25" s="56">
        <f t="shared" si="14"/>
        <v>47968.35236842106</v>
      </c>
      <c r="F25" s="55">
        <f t="shared" si="15"/>
        <v>1439331.7200674762</v>
      </c>
      <c r="G25" s="57">
        <f t="shared" si="16"/>
        <v>219765.59787216579</v>
      </c>
      <c r="H25" s="42">
        <f t="shared" si="17"/>
        <v>219765.59787216579</v>
      </c>
      <c r="I25" s="52">
        <f t="shared" si="6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>
      <c r="B26" s="7" t="str">
        <f t="shared" si="7"/>
        <v/>
      </c>
      <c r="C26" s="50">
        <f>IF(D11="","-",+C25+1)</f>
        <v>2030</v>
      </c>
      <c r="D26" s="55">
        <f>IF(F25+SUM(E$17:E25)=D$10,F25,D$10-SUM(E$17:E25))</f>
        <v>1439331.7200674762</v>
      </c>
      <c r="E26" s="56">
        <f t="shared" si="14"/>
        <v>47968.35236842106</v>
      </c>
      <c r="F26" s="55">
        <f t="shared" si="15"/>
        <v>1391363.367699055</v>
      </c>
      <c r="G26" s="57">
        <f t="shared" si="16"/>
        <v>214133.9835164707</v>
      </c>
      <c r="H26" s="42">
        <f t="shared" si="17"/>
        <v>214133.9835164707</v>
      </c>
      <c r="I26" s="52">
        <f t="shared" si="6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>
      <c r="B27" s="7" t="str">
        <f t="shared" si="7"/>
        <v/>
      </c>
      <c r="C27" s="50">
        <f>IF(D11="","-",+C26+1)</f>
        <v>2031</v>
      </c>
      <c r="D27" s="55">
        <f>IF(F26+SUM(E$17:E26)=D$10,F26,D$10-SUM(E$17:E26))</f>
        <v>1391363.367699055</v>
      </c>
      <c r="E27" s="56">
        <f t="shared" si="14"/>
        <v>47968.35236842106</v>
      </c>
      <c r="F27" s="55">
        <f t="shared" si="15"/>
        <v>1343395.0153306338</v>
      </c>
      <c r="G27" s="57">
        <f t="shared" si="16"/>
        <v>208502.36916077568</v>
      </c>
      <c r="H27" s="42">
        <f t="shared" si="17"/>
        <v>208502.36916077568</v>
      </c>
      <c r="I27" s="52">
        <f t="shared" si="6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7"/>
        <v/>
      </c>
      <c r="C28" s="50">
        <f>IF(D11="","-",+C27+1)</f>
        <v>2032</v>
      </c>
      <c r="D28" s="55">
        <f>IF(F27+SUM(E$17:E27)=D$10,F27,D$10-SUM(E$17:E27))</f>
        <v>1343395.0153306338</v>
      </c>
      <c r="E28" s="56">
        <f t="shared" si="14"/>
        <v>47968.35236842106</v>
      </c>
      <c r="F28" s="55">
        <f t="shared" si="15"/>
        <v>1295426.6629622127</v>
      </c>
      <c r="G28" s="57">
        <f t="shared" si="16"/>
        <v>202870.75480508056</v>
      </c>
      <c r="H28" s="42">
        <f t="shared" si="17"/>
        <v>202870.75480508056</v>
      </c>
      <c r="I28" s="52">
        <f t="shared" si="6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7"/>
        <v/>
      </c>
      <c r="C29" s="50">
        <f>IF(D11="","-",+C28+1)</f>
        <v>2033</v>
      </c>
      <c r="D29" s="55">
        <f>IF(F28+SUM(E$17:E28)=D$10,F28,D$10-SUM(E$17:E28))</f>
        <v>1295426.6629622127</v>
      </c>
      <c r="E29" s="56">
        <f t="shared" si="14"/>
        <v>47968.35236842106</v>
      </c>
      <c r="F29" s="55">
        <f t="shared" si="15"/>
        <v>1247458.3105937915</v>
      </c>
      <c r="G29" s="57">
        <f t="shared" si="16"/>
        <v>197239.14044938554</v>
      </c>
      <c r="H29" s="42">
        <f t="shared" si="17"/>
        <v>197239.14044938554</v>
      </c>
      <c r="I29" s="52">
        <f t="shared" si="6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7"/>
        <v/>
      </c>
      <c r="C30" s="50">
        <f>IF(D11="","-",+C29+1)</f>
        <v>2034</v>
      </c>
      <c r="D30" s="55">
        <f>IF(F29+SUM(E$17:E29)=D$10,F29,D$10-SUM(E$17:E29))</f>
        <v>1247458.3105937915</v>
      </c>
      <c r="E30" s="56">
        <f t="shared" si="14"/>
        <v>47968.35236842106</v>
      </c>
      <c r="F30" s="55">
        <f t="shared" si="15"/>
        <v>1199489.9582253704</v>
      </c>
      <c r="G30" s="57">
        <f t="shared" si="16"/>
        <v>191607.52609369045</v>
      </c>
      <c r="H30" s="42">
        <f t="shared" si="17"/>
        <v>191607.52609369045</v>
      </c>
      <c r="I30" s="52">
        <f t="shared" si="6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>
      <c r="B31" s="7" t="str">
        <f t="shared" si="7"/>
        <v/>
      </c>
      <c r="C31" s="50">
        <f>IF(D11="","-",+C30+1)</f>
        <v>2035</v>
      </c>
      <c r="D31" s="55">
        <f>IF(F30+SUM(E$17:E30)=D$10,F30,D$10-SUM(E$17:E30))</f>
        <v>1199489.9582253704</v>
      </c>
      <c r="E31" s="56">
        <f t="shared" si="14"/>
        <v>47968.35236842106</v>
      </c>
      <c r="F31" s="55">
        <f t="shared" si="15"/>
        <v>1151521.6058569492</v>
      </c>
      <c r="G31" s="57">
        <f t="shared" si="16"/>
        <v>185975.91173799543</v>
      </c>
      <c r="H31" s="42">
        <f t="shared" si="17"/>
        <v>185975.91173799543</v>
      </c>
      <c r="I31" s="52">
        <f t="shared" si="6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>
      <c r="B32" s="7" t="str">
        <f t="shared" si="7"/>
        <v/>
      </c>
      <c r="C32" s="50">
        <f>IF(D11="","-",+C31+1)</f>
        <v>2036</v>
      </c>
      <c r="D32" s="55">
        <f>IF(F31+SUM(E$17:E31)=D$10,F31,D$10-SUM(E$17:E31))</f>
        <v>1151521.6058569492</v>
      </c>
      <c r="E32" s="56">
        <f t="shared" si="14"/>
        <v>47968.35236842106</v>
      </c>
      <c r="F32" s="55">
        <f t="shared" si="15"/>
        <v>1103553.2534885281</v>
      </c>
      <c r="G32" s="57">
        <f t="shared" si="16"/>
        <v>180344.29738230034</v>
      </c>
      <c r="H32" s="42">
        <f t="shared" si="17"/>
        <v>180344.29738230034</v>
      </c>
      <c r="I32" s="52">
        <f t="shared" si="6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>
      <c r="B33" s="7" t="str">
        <f t="shared" si="7"/>
        <v/>
      </c>
      <c r="C33" s="50">
        <f>IF(D11="","-",+C32+1)</f>
        <v>2037</v>
      </c>
      <c r="D33" s="55">
        <f>IF(F32+SUM(E$17:E32)=D$10,F32,D$10-SUM(E$17:E32))</f>
        <v>1103553.2534885281</v>
      </c>
      <c r="E33" s="56">
        <f t="shared" si="14"/>
        <v>47968.35236842106</v>
      </c>
      <c r="F33" s="55">
        <f t="shared" si="15"/>
        <v>1055584.9011201069</v>
      </c>
      <c r="G33" s="57">
        <f t="shared" si="16"/>
        <v>174712.68302660529</v>
      </c>
      <c r="H33" s="42">
        <f t="shared" si="17"/>
        <v>174712.68302660529</v>
      </c>
      <c r="I33" s="52">
        <f t="shared" si="6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>
      <c r="B34" s="7" t="str">
        <f t="shared" si="7"/>
        <v/>
      </c>
      <c r="C34" s="50">
        <f>IF(D11="","-",+C33+1)</f>
        <v>2038</v>
      </c>
      <c r="D34" s="55">
        <f>IF(F33+SUM(E$17:E33)=D$10,F33,D$10-SUM(E$17:E33))</f>
        <v>1055584.9011201069</v>
      </c>
      <c r="E34" s="56">
        <f t="shared" si="14"/>
        <v>47968.35236842106</v>
      </c>
      <c r="F34" s="55">
        <f t="shared" si="15"/>
        <v>1007616.5487516859</v>
      </c>
      <c r="G34" s="57">
        <f t="shared" si="16"/>
        <v>169081.06867091023</v>
      </c>
      <c r="H34" s="42">
        <f t="shared" si="17"/>
        <v>169081.06867091023</v>
      </c>
      <c r="I34" s="52">
        <f t="shared" si="6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7"/>
        <v/>
      </c>
      <c r="C35" s="50">
        <f>IF(D11="","-",+C34+1)</f>
        <v>2039</v>
      </c>
      <c r="D35" s="55">
        <f>IF(F34+SUM(E$17:E34)=D$10,F34,D$10-SUM(E$17:E34))</f>
        <v>1007616.5487516859</v>
      </c>
      <c r="E35" s="56">
        <f t="shared" si="14"/>
        <v>47968.35236842106</v>
      </c>
      <c r="F35" s="55">
        <f t="shared" si="15"/>
        <v>959648.19638326485</v>
      </c>
      <c r="G35" s="57">
        <f t="shared" si="16"/>
        <v>163449.45431521517</v>
      </c>
      <c r="H35" s="42">
        <f t="shared" si="17"/>
        <v>163449.45431521517</v>
      </c>
      <c r="I35" s="52">
        <f t="shared" si="6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7"/>
        <v/>
      </c>
      <c r="C36" s="50">
        <f>IF(D11="","-",+C35+1)</f>
        <v>2040</v>
      </c>
      <c r="D36" s="55">
        <f>IF(F35+SUM(E$17:E35)=D$10,F35,D$10-SUM(E$17:E35))</f>
        <v>959648.19638326485</v>
      </c>
      <c r="E36" s="56">
        <f t="shared" si="14"/>
        <v>47968.35236842106</v>
      </c>
      <c r="F36" s="55">
        <f t="shared" si="15"/>
        <v>911679.84401484381</v>
      </c>
      <c r="G36" s="57">
        <f t="shared" si="16"/>
        <v>157817.83995952015</v>
      </c>
      <c r="H36" s="42">
        <f t="shared" si="17"/>
        <v>157817.83995952015</v>
      </c>
      <c r="I36" s="52">
        <f t="shared" si="6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7"/>
        <v/>
      </c>
      <c r="C37" s="50">
        <f>IF(D11="","-",+C36+1)</f>
        <v>2041</v>
      </c>
      <c r="D37" s="55">
        <f>IF(F36+SUM(E$17:E36)=D$10,F36,D$10-SUM(E$17:E36))</f>
        <v>911679.84401484381</v>
      </c>
      <c r="E37" s="56">
        <f t="shared" si="14"/>
        <v>47968.35236842106</v>
      </c>
      <c r="F37" s="55">
        <f t="shared" si="15"/>
        <v>863711.49164642277</v>
      </c>
      <c r="G37" s="57">
        <f t="shared" si="16"/>
        <v>152186.22560382509</v>
      </c>
      <c r="H37" s="42">
        <f t="shared" si="17"/>
        <v>152186.22560382509</v>
      </c>
      <c r="I37" s="52">
        <f t="shared" si="6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7"/>
        <v/>
      </c>
      <c r="C38" s="50">
        <f>IF(D11="","-",+C37+1)</f>
        <v>2042</v>
      </c>
      <c r="D38" s="55">
        <f>IF(F37+SUM(E$17:E37)=D$10,F37,D$10-SUM(E$17:E37))</f>
        <v>863711.49164642277</v>
      </c>
      <c r="E38" s="56">
        <f t="shared" si="14"/>
        <v>47968.35236842106</v>
      </c>
      <c r="F38" s="55">
        <f t="shared" si="15"/>
        <v>815743.13927800173</v>
      </c>
      <c r="G38" s="57">
        <f t="shared" si="16"/>
        <v>146554.61124813004</v>
      </c>
      <c r="H38" s="42">
        <f t="shared" si="17"/>
        <v>146554.61124813004</v>
      </c>
      <c r="I38" s="52">
        <f t="shared" si="6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7"/>
        <v/>
      </c>
      <c r="C39" s="50">
        <f>IF(D11="","-",+C38+1)</f>
        <v>2043</v>
      </c>
      <c r="D39" s="55">
        <f>IF(F38+SUM(E$17:E38)=D$10,F38,D$10-SUM(E$17:E38))</f>
        <v>815743.13927800173</v>
      </c>
      <c r="E39" s="56">
        <f t="shared" si="14"/>
        <v>47968.35236842106</v>
      </c>
      <c r="F39" s="55">
        <f t="shared" si="15"/>
        <v>767774.7869095807</v>
      </c>
      <c r="G39" s="57">
        <f t="shared" si="16"/>
        <v>140922.99689243498</v>
      </c>
      <c r="H39" s="42">
        <f t="shared" si="17"/>
        <v>140922.99689243498</v>
      </c>
      <c r="I39" s="52">
        <f t="shared" si="6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7"/>
        <v/>
      </c>
      <c r="C40" s="50">
        <f>IF(D11="","-",+C39+1)</f>
        <v>2044</v>
      </c>
      <c r="D40" s="55">
        <f>IF(F39+SUM(E$17:E39)=D$10,F39,D$10-SUM(E$17:E39))</f>
        <v>767774.7869095807</v>
      </c>
      <c r="E40" s="56">
        <f t="shared" si="14"/>
        <v>47968.35236842106</v>
      </c>
      <c r="F40" s="55">
        <f t="shared" si="15"/>
        <v>719806.43454115966</v>
      </c>
      <c r="G40" s="57">
        <f t="shared" si="16"/>
        <v>135291.38253673995</v>
      </c>
      <c r="H40" s="42">
        <f t="shared" si="17"/>
        <v>135291.38253673995</v>
      </c>
      <c r="I40" s="52">
        <f t="shared" si="6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7"/>
        <v/>
      </c>
      <c r="C41" s="50">
        <f>IF(D11="","-",+C40+1)</f>
        <v>2045</v>
      </c>
      <c r="D41" s="55">
        <f>IF(F40+SUM(E$17:E40)=D$10,F40,D$10-SUM(E$17:E40))</f>
        <v>719806.43454115966</v>
      </c>
      <c r="E41" s="56">
        <f t="shared" si="14"/>
        <v>47968.35236842106</v>
      </c>
      <c r="F41" s="55">
        <f t="shared" si="15"/>
        <v>671838.08217273862</v>
      </c>
      <c r="G41" s="57">
        <f t="shared" si="16"/>
        <v>129659.7681810449</v>
      </c>
      <c r="H41" s="42">
        <f t="shared" si="17"/>
        <v>129659.7681810449</v>
      </c>
      <c r="I41" s="52">
        <f t="shared" si="6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7"/>
        <v/>
      </c>
      <c r="C42" s="50">
        <f>IF(D11="","-",+C41+1)</f>
        <v>2046</v>
      </c>
      <c r="D42" s="55">
        <f>IF(F41+SUM(E$17:E41)=D$10,F41,D$10-SUM(E$17:E41))</f>
        <v>671838.08217273862</v>
      </c>
      <c r="E42" s="56">
        <f t="shared" si="14"/>
        <v>47968.35236842106</v>
      </c>
      <c r="F42" s="55">
        <f t="shared" si="15"/>
        <v>623869.72980431758</v>
      </c>
      <c r="G42" s="57">
        <f t="shared" si="16"/>
        <v>124028.15382534984</v>
      </c>
      <c r="H42" s="42">
        <f t="shared" si="17"/>
        <v>124028.15382534984</v>
      </c>
      <c r="I42" s="52">
        <f t="shared" si="6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7"/>
        <v/>
      </c>
      <c r="C43" s="50">
        <f>IF(D11="","-",+C42+1)</f>
        <v>2047</v>
      </c>
      <c r="D43" s="55">
        <f>IF(F42+SUM(E$17:E42)=D$10,F42,D$10-SUM(E$17:E42))</f>
        <v>623869.72980431758</v>
      </c>
      <c r="E43" s="56">
        <f t="shared" si="14"/>
        <v>47968.35236842106</v>
      </c>
      <c r="F43" s="55">
        <f t="shared" si="15"/>
        <v>575901.37743589655</v>
      </c>
      <c r="G43" s="57">
        <f t="shared" si="16"/>
        <v>118396.53946965479</v>
      </c>
      <c r="H43" s="42">
        <f t="shared" si="17"/>
        <v>118396.53946965479</v>
      </c>
      <c r="I43" s="52">
        <f t="shared" si="6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7"/>
        <v/>
      </c>
      <c r="C44" s="50">
        <f>IF(D11="","-",+C43+1)</f>
        <v>2048</v>
      </c>
      <c r="D44" s="55">
        <f>IF(F43+SUM(E$17:E43)=D$10,F43,D$10-SUM(E$17:E43))</f>
        <v>575901.37743589655</v>
      </c>
      <c r="E44" s="56">
        <f t="shared" si="14"/>
        <v>47968.35236842106</v>
      </c>
      <c r="F44" s="55">
        <f t="shared" si="15"/>
        <v>527933.02506747551</v>
      </c>
      <c r="G44" s="57">
        <f t="shared" si="16"/>
        <v>112764.92511395976</v>
      </c>
      <c r="H44" s="42">
        <f t="shared" si="17"/>
        <v>112764.92511395976</v>
      </c>
      <c r="I44" s="52">
        <f t="shared" si="6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7"/>
        <v/>
      </c>
      <c r="C45" s="50">
        <f>IF(D11="","-",+C44+1)</f>
        <v>2049</v>
      </c>
      <c r="D45" s="55">
        <f>IF(F44+SUM(E$17:E44)=D$10,F44,D$10-SUM(E$17:E44))</f>
        <v>527933.02506747551</v>
      </c>
      <c r="E45" s="56">
        <f t="shared" si="14"/>
        <v>47968.35236842106</v>
      </c>
      <c r="F45" s="55">
        <f t="shared" si="15"/>
        <v>479964.67269905447</v>
      </c>
      <c r="G45" s="57">
        <f t="shared" si="16"/>
        <v>107133.31075826471</v>
      </c>
      <c r="H45" s="42">
        <f t="shared" si="17"/>
        <v>107133.31075826471</v>
      </c>
      <c r="I45" s="52">
        <f t="shared" si="6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7"/>
        <v/>
      </c>
      <c r="C46" s="50">
        <f>IF(D11="","-",+C45+1)</f>
        <v>2050</v>
      </c>
      <c r="D46" s="55">
        <f>IF(F45+SUM(E$17:E45)=D$10,F45,D$10-SUM(E$17:E45))</f>
        <v>479964.67269905447</v>
      </c>
      <c r="E46" s="56">
        <f t="shared" si="14"/>
        <v>47968.35236842106</v>
      </c>
      <c r="F46" s="55">
        <f t="shared" si="15"/>
        <v>431996.32033063343</v>
      </c>
      <c r="G46" s="57">
        <f t="shared" si="16"/>
        <v>101501.69640256967</v>
      </c>
      <c r="H46" s="42">
        <f t="shared" si="17"/>
        <v>101501.69640256967</v>
      </c>
      <c r="I46" s="52">
        <f t="shared" si="6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7"/>
        <v/>
      </c>
      <c r="C47" s="50">
        <f>IF(D11="","-",+C46+1)</f>
        <v>2051</v>
      </c>
      <c r="D47" s="55">
        <f>IF(F46+SUM(E$17:E46)=D$10,F46,D$10-SUM(E$17:E46))</f>
        <v>431996.32033063343</v>
      </c>
      <c r="E47" s="56">
        <f t="shared" si="14"/>
        <v>47968.35236842106</v>
      </c>
      <c r="F47" s="55">
        <f t="shared" si="15"/>
        <v>384027.96796221239</v>
      </c>
      <c r="G47" s="57">
        <f t="shared" si="16"/>
        <v>95870.082046874624</v>
      </c>
      <c r="H47" s="42">
        <f t="shared" si="17"/>
        <v>95870.082046874624</v>
      </c>
      <c r="I47" s="52">
        <f t="shared" si="6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7"/>
        <v/>
      </c>
      <c r="C48" s="50">
        <f>IF(D11="","-",+C47+1)</f>
        <v>2052</v>
      </c>
      <c r="D48" s="55">
        <f>IF(F47+SUM(E$17:E47)=D$10,F47,D$10-SUM(E$17:E47))</f>
        <v>384027.96796221239</v>
      </c>
      <c r="E48" s="56">
        <f t="shared" si="14"/>
        <v>47968.35236842106</v>
      </c>
      <c r="F48" s="55">
        <f t="shared" si="15"/>
        <v>336059.61559379136</v>
      </c>
      <c r="G48" s="57">
        <f t="shared" si="16"/>
        <v>90238.467691179569</v>
      </c>
      <c r="H48" s="42">
        <f t="shared" si="17"/>
        <v>90238.467691179569</v>
      </c>
      <c r="I48" s="52">
        <f t="shared" si="6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>
      <c r="B49" s="7" t="str">
        <f t="shared" si="7"/>
        <v/>
      </c>
      <c r="C49" s="50">
        <f>IF(D11="","-",+C48+1)</f>
        <v>2053</v>
      </c>
      <c r="D49" s="55">
        <f>IF(F48+SUM(E$17:E48)=D$10,F48,D$10-SUM(E$17:E48))</f>
        <v>336059.61559379136</v>
      </c>
      <c r="E49" s="56">
        <f t="shared" si="14"/>
        <v>47968.35236842106</v>
      </c>
      <c r="F49" s="55">
        <f t="shared" si="15"/>
        <v>288091.26322537032</v>
      </c>
      <c r="G49" s="57">
        <f t="shared" si="16"/>
        <v>84606.853335484513</v>
      </c>
      <c r="H49" s="42">
        <f t="shared" si="17"/>
        <v>84606.853335484513</v>
      </c>
      <c r="I49" s="52">
        <f t="shared" si="6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>
      <c r="B50" s="7" t="str">
        <f t="shared" si="7"/>
        <v/>
      </c>
      <c r="C50" s="50">
        <f>IF(D11="","-",+C49+1)</f>
        <v>2054</v>
      </c>
      <c r="D50" s="55">
        <f>IF(F49+SUM(E$17:E49)=D$10,F49,D$10-SUM(E$17:E49))</f>
        <v>288091.26322537032</v>
      </c>
      <c r="E50" s="56">
        <f t="shared" si="14"/>
        <v>47968.35236842106</v>
      </c>
      <c r="F50" s="55">
        <f t="shared" si="15"/>
        <v>240122.91085694925</v>
      </c>
      <c r="G50" s="57">
        <f t="shared" si="16"/>
        <v>78975.238979789472</v>
      </c>
      <c r="H50" s="42">
        <f t="shared" si="17"/>
        <v>78975.238979789472</v>
      </c>
      <c r="I50" s="52">
        <f t="shared" si="6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>
      <c r="B51" s="7" t="str">
        <f t="shared" si="7"/>
        <v/>
      </c>
      <c r="C51" s="50">
        <f>IF(D11="","-",+C50+1)</f>
        <v>2055</v>
      </c>
      <c r="D51" s="55">
        <f>IF(F50+SUM(E$17:E50)=D$10,F50,D$10-SUM(E$17:E50))</f>
        <v>240122.91085694925</v>
      </c>
      <c r="E51" s="56">
        <f t="shared" si="14"/>
        <v>47968.35236842106</v>
      </c>
      <c r="F51" s="55">
        <f t="shared" si="15"/>
        <v>192154.55848852819</v>
      </c>
      <c r="G51" s="57">
        <f t="shared" si="16"/>
        <v>73343.624624094431</v>
      </c>
      <c r="H51" s="42">
        <f t="shared" si="17"/>
        <v>73343.624624094431</v>
      </c>
      <c r="I51" s="52">
        <f t="shared" si="6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>
      <c r="B52" s="7" t="str">
        <f t="shared" si="7"/>
        <v/>
      </c>
      <c r="C52" s="50">
        <f>IF(D11="","-",+C51+1)</f>
        <v>2056</v>
      </c>
      <c r="D52" s="55">
        <f>IF(F51+SUM(E$17:E51)=D$10,F51,D$10-SUM(E$17:E51))</f>
        <v>192154.55848852819</v>
      </c>
      <c r="E52" s="56">
        <f t="shared" si="14"/>
        <v>47968.35236842106</v>
      </c>
      <c r="F52" s="55">
        <f t="shared" si="15"/>
        <v>144186.20612010712</v>
      </c>
      <c r="G52" s="57">
        <f t="shared" si="16"/>
        <v>67712.010268399375</v>
      </c>
      <c r="H52" s="42">
        <f t="shared" si="17"/>
        <v>67712.010268399375</v>
      </c>
      <c r="I52" s="52">
        <f t="shared" si="6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>
      <c r="B53" s="7" t="str">
        <f t="shared" si="7"/>
        <v/>
      </c>
      <c r="C53" s="50">
        <f>IF(D11="","-",+C52+1)</f>
        <v>2057</v>
      </c>
      <c r="D53" s="55">
        <f>IF(F52+SUM(E$17:E52)=D$10,F52,D$10-SUM(E$17:E52))</f>
        <v>144186.20612010712</v>
      </c>
      <c r="E53" s="56">
        <f t="shared" si="14"/>
        <v>47968.35236842106</v>
      </c>
      <c r="F53" s="55">
        <f t="shared" si="15"/>
        <v>96217.853751686052</v>
      </c>
      <c r="G53" s="57">
        <f t="shared" si="16"/>
        <v>62080.395912704327</v>
      </c>
      <c r="H53" s="42">
        <f t="shared" si="17"/>
        <v>62080.395912704327</v>
      </c>
      <c r="I53" s="52">
        <f t="shared" si="6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>
      <c r="B54" s="7" t="str">
        <f t="shared" si="7"/>
        <v/>
      </c>
      <c r="C54" s="50">
        <f>IF(D11="","-",+C53+1)</f>
        <v>2058</v>
      </c>
      <c r="D54" s="55">
        <f>IF(F53+SUM(E$17:E53)=D$10,F53,D$10-SUM(E$17:E53))</f>
        <v>96217.853751686052</v>
      </c>
      <c r="E54" s="56">
        <f t="shared" si="14"/>
        <v>47968.35236842106</v>
      </c>
      <c r="F54" s="55">
        <f t="shared" si="15"/>
        <v>48249.501383264993</v>
      </c>
      <c r="G54" s="57">
        <f t="shared" si="16"/>
        <v>56448.781557009279</v>
      </c>
      <c r="H54" s="42">
        <f t="shared" si="17"/>
        <v>56448.781557009279</v>
      </c>
      <c r="I54" s="52">
        <f t="shared" si="6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>
      <c r="B55" s="7" t="str">
        <f t="shared" si="7"/>
        <v/>
      </c>
      <c r="C55" s="50">
        <f>IF(D11="","-",+C54+1)</f>
        <v>2059</v>
      </c>
      <c r="D55" s="55">
        <f>IF(F54+SUM(E$17:E54)=D$10,F54,D$10-SUM(E$17:E54))</f>
        <v>48249.501383264993</v>
      </c>
      <c r="E55" s="56">
        <f t="shared" si="14"/>
        <v>47968.35236842106</v>
      </c>
      <c r="F55" s="55">
        <f t="shared" si="15"/>
        <v>281.1490148439334</v>
      </c>
      <c r="G55" s="57">
        <f t="shared" si="16"/>
        <v>50817.167201314223</v>
      </c>
      <c r="H55" s="42">
        <f t="shared" si="17"/>
        <v>50817.167201314223</v>
      </c>
      <c r="I55" s="52">
        <f t="shared" si="6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>
      <c r="B56" s="7" t="str">
        <f t="shared" si="7"/>
        <v/>
      </c>
      <c r="C56" s="50">
        <f>IF(D11="","-",+C55+1)</f>
        <v>2060</v>
      </c>
      <c r="D56" s="55">
        <f>IF(F55+SUM(E$17:E55)=D$10,F55,D$10-SUM(E$17:E55))</f>
        <v>281.1490148439334</v>
      </c>
      <c r="E56" s="56">
        <f t="shared" si="14"/>
        <v>281.1490148439334</v>
      </c>
      <c r="F56" s="55">
        <f t="shared" si="15"/>
        <v>0</v>
      </c>
      <c r="G56" s="57">
        <f t="shared" si="16"/>
        <v>297.6528423667541</v>
      </c>
      <c r="H56" s="42">
        <f t="shared" si="17"/>
        <v>297.6528423667541</v>
      </c>
      <c r="I56" s="52">
        <f t="shared" si="6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>
      <c r="B57" s="7" t="str">
        <f t="shared" si="7"/>
        <v/>
      </c>
      <c r="C57" s="50">
        <f>IF(D11="","-",+C56+1)</f>
        <v>2061</v>
      </c>
      <c r="D57" s="55">
        <f>IF(F56+SUM(E$17:E56)=D$10,F56,D$10-SUM(E$17:E56))</f>
        <v>0</v>
      </c>
      <c r="E57" s="56">
        <f t="shared" si="14"/>
        <v>0</v>
      </c>
      <c r="F57" s="55">
        <f t="shared" si="15"/>
        <v>0</v>
      </c>
      <c r="G57" s="57">
        <f t="shared" si="16"/>
        <v>0</v>
      </c>
      <c r="H57" s="42">
        <f t="shared" si="17"/>
        <v>0</v>
      </c>
      <c r="I57" s="52">
        <f t="shared" si="6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>
      <c r="B58" s="7" t="str">
        <f t="shared" si="7"/>
        <v/>
      </c>
      <c r="C58" s="50">
        <f>IF(D11="","-",+C57+1)</f>
        <v>2062</v>
      </c>
      <c r="D58" s="55">
        <f>IF(F57+SUM(E$17:E57)=D$10,F57,D$10-SUM(E$17:E57))</f>
        <v>0</v>
      </c>
      <c r="E58" s="56">
        <f t="shared" si="14"/>
        <v>0</v>
      </c>
      <c r="F58" s="55">
        <f t="shared" si="15"/>
        <v>0</v>
      </c>
      <c r="G58" s="57">
        <f t="shared" si="16"/>
        <v>0</v>
      </c>
      <c r="H58" s="42">
        <f t="shared" si="17"/>
        <v>0</v>
      </c>
      <c r="I58" s="52">
        <f t="shared" si="6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>
      <c r="B59" s="7" t="str">
        <f t="shared" si="7"/>
        <v/>
      </c>
      <c r="C59" s="50">
        <f>IF(D11="","-",+C58+1)</f>
        <v>2063</v>
      </c>
      <c r="D59" s="55">
        <f>IF(F58+SUM(E$17:E58)=D$10,F58,D$10-SUM(E$17:E58))</f>
        <v>0</v>
      </c>
      <c r="E59" s="56">
        <f t="shared" si="14"/>
        <v>0</v>
      </c>
      <c r="F59" s="55">
        <f t="shared" si="15"/>
        <v>0</v>
      </c>
      <c r="G59" s="57">
        <f t="shared" si="16"/>
        <v>0</v>
      </c>
      <c r="H59" s="42">
        <f t="shared" si="17"/>
        <v>0</v>
      </c>
      <c r="I59" s="52">
        <f t="shared" si="6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>
      <c r="B60" s="7" t="str">
        <f t="shared" si="7"/>
        <v/>
      </c>
      <c r="C60" s="50">
        <f>IF(D11="","-",+C59+1)</f>
        <v>2064</v>
      </c>
      <c r="D60" s="55">
        <f>IF(F59+SUM(E$17:E59)=D$10,F59,D$10-SUM(E$17:E59))</f>
        <v>0</v>
      </c>
      <c r="E60" s="56">
        <f t="shared" si="14"/>
        <v>0</v>
      </c>
      <c r="F60" s="55">
        <f t="shared" si="15"/>
        <v>0</v>
      </c>
      <c r="G60" s="57">
        <f t="shared" si="16"/>
        <v>0</v>
      </c>
      <c r="H60" s="42">
        <f t="shared" si="17"/>
        <v>0</v>
      </c>
      <c r="I60" s="52">
        <f t="shared" si="6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>
      <c r="B61" s="7" t="str">
        <f t="shared" si="7"/>
        <v/>
      </c>
      <c r="C61" s="50">
        <f>IF(D11="","-",+C60+1)</f>
        <v>2065</v>
      </c>
      <c r="D61" s="55">
        <f>IF(F60+SUM(E$17:E60)=D$10,F60,D$10-SUM(E$17:E60))</f>
        <v>0</v>
      </c>
      <c r="E61" s="56">
        <f t="shared" si="14"/>
        <v>0</v>
      </c>
      <c r="F61" s="55">
        <f t="shared" si="15"/>
        <v>0</v>
      </c>
      <c r="G61" s="57">
        <f t="shared" si="16"/>
        <v>0</v>
      </c>
      <c r="H61" s="42">
        <f t="shared" si="17"/>
        <v>0</v>
      </c>
      <c r="I61" s="52">
        <f t="shared" si="6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>
      <c r="B62" s="7" t="str">
        <f t="shared" si="7"/>
        <v/>
      </c>
      <c r="C62" s="50">
        <f>IF(D11="","-",+C61+1)</f>
        <v>2066</v>
      </c>
      <c r="D62" s="55">
        <f>IF(F61+SUM(E$17:E61)=D$10,F61,D$10-SUM(E$17:E61))</f>
        <v>0</v>
      </c>
      <c r="E62" s="56">
        <f t="shared" si="14"/>
        <v>0</v>
      </c>
      <c r="F62" s="55">
        <f t="shared" si="15"/>
        <v>0</v>
      </c>
      <c r="G62" s="57">
        <f t="shared" si="16"/>
        <v>0</v>
      </c>
      <c r="H62" s="42">
        <f t="shared" si="17"/>
        <v>0</v>
      </c>
      <c r="I62" s="52">
        <f t="shared" si="6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>
      <c r="B63" s="7" t="str">
        <f t="shared" si="7"/>
        <v/>
      </c>
      <c r="C63" s="50">
        <f>IF(D11="","-",+C62+1)</f>
        <v>2067</v>
      </c>
      <c r="D63" s="55">
        <f>IF(F62+SUM(E$17:E62)=D$10,F62,D$10-SUM(E$17:E62))</f>
        <v>0</v>
      </c>
      <c r="E63" s="56">
        <f t="shared" si="14"/>
        <v>0</v>
      </c>
      <c r="F63" s="55">
        <f t="shared" si="15"/>
        <v>0</v>
      </c>
      <c r="G63" s="57">
        <f t="shared" si="16"/>
        <v>0</v>
      </c>
      <c r="H63" s="42">
        <f t="shared" si="17"/>
        <v>0</v>
      </c>
      <c r="I63" s="52">
        <f t="shared" si="6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>
      <c r="B64" s="7" t="str">
        <f t="shared" si="7"/>
        <v/>
      </c>
      <c r="C64" s="50">
        <f>IF(D11="","-",+C63+1)</f>
        <v>2068</v>
      </c>
      <c r="D64" s="55">
        <f>IF(F63+SUM(E$17:E63)=D$10,F63,D$10-SUM(E$17:E63))</f>
        <v>0</v>
      </c>
      <c r="E64" s="56">
        <f t="shared" si="14"/>
        <v>0</v>
      </c>
      <c r="F64" s="55">
        <f t="shared" si="15"/>
        <v>0</v>
      </c>
      <c r="G64" s="57">
        <f t="shared" si="16"/>
        <v>0</v>
      </c>
      <c r="H64" s="42">
        <f t="shared" si="17"/>
        <v>0</v>
      </c>
      <c r="I64" s="52">
        <f t="shared" si="6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>
      <c r="B65" s="7" t="str">
        <f t="shared" si="7"/>
        <v/>
      </c>
      <c r="C65" s="50">
        <f>IF(D11="","-",+C64+1)</f>
        <v>2069</v>
      </c>
      <c r="D65" s="55">
        <f>IF(F64+SUM(E$17:E64)=D$10,F64,D$10-SUM(E$17:E64))</f>
        <v>0</v>
      </c>
      <c r="E65" s="56">
        <f t="shared" si="14"/>
        <v>0</v>
      </c>
      <c r="F65" s="55">
        <f t="shared" si="15"/>
        <v>0</v>
      </c>
      <c r="G65" s="57">
        <f t="shared" si="16"/>
        <v>0</v>
      </c>
      <c r="H65" s="42">
        <f t="shared" si="17"/>
        <v>0</v>
      </c>
      <c r="I65" s="52">
        <f t="shared" si="6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>
      <c r="B66" s="7" t="str">
        <f t="shared" si="7"/>
        <v/>
      </c>
      <c r="C66" s="50">
        <f>IF(D11="","-",+C65+1)</f>
        <v>2070</v>
      </c>
      <c r="D66" s="55">
        <f>IF(F65+SUM(E$17:E65)=D$10,F65,D$10-SUM(E$17:E65))</f>
        <v>0</v>
      </c>
      <c r="E66" s="56">
        <f t="shared" si="14"/>
        <v>0</v>
      </c>
      <c r="F66" s="55">
        <f t="shared" si="15"/>
        <v>0</v>
      </c>
      <c r="G66" s="57">
        <f t="shared" si="16"/>
        <v>0</v>
      </c>
      <c r="H66" s="42">
        <f t="shared" si="17"/>
        <v>0</v>
      </c>
      <c r="I66" s="52">
        <f t="shared" si="6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>
      <c r="B67" s="7" t="str">
        <f t="shared" si="7"/>
        <v/>
      </c>
      <c r="C67" s="50">
        <f>IF(D11="","-",+C66+1)</f>
        <v>2071</v>
      </c>
      <c r="D67" s="55">
        <f>IF(F66+SUM(E$17:E66)=D$10,F66,D$10-SUM(E$17:E66))</f>
        <v>0</v>
      </c>
      <c r="E67" s="56">
        <f t="shared" si="14"/>
        <v>0</v>
      </c>
      <c r="F67" s="55">
        <f t="shared" si="15"/>
        <v>0</v>
      </c>
      <c r="G67" s="57">
        <f t="shared" si="16"/>
        <v>0</v>
      </c>
      <c r="H67" s="42">
        <f t="shared" si="17"/>
        <v>0</v>
      </c>
      <c r="I67" s="52">
        <f t="shared" si="6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>
      <c r="B68" s="7" t="str">
        <f t="shared" si="7"/>
        <v/>
      </c>
      <c r="C68" s="50">
        <f>IF(D11="","-",+C67+1)</f>
        <v>2072</v>
      </c>
      <c r="D68" s="55">
        <f>IF(F67+SUM(E$17:E67)=D$10,F67,D$10-SUM(E$17:E67))</f>
        <v>0</v>
      </c>
      <c r="E68" s="56">
        <f t="shared" si="14"/>
        <v>0</v>
      </c>
      <c r="F68" s="55">
        <f t="shared" si="15"/>
        <v>0</v>
      </c>
      <c r="G68" s="57">
        <f t="shared" si="16"/>
        <v>0</v>
      </c>
      <c r="H68" s="42">
        <f t="shared" si="17"/>
        <v>0</v>
      </c>
      <c r="I68" s="52">
        <f t="shared" si="6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>
      <c r="B69" s="7" t="str">
        <f t="shared" si="7"/>
        <v/>
      </c>
      <c r="C69" s="50">
        <f>IF(D11="","-",+C68+1)</f>
        <v>2073</v>
      </c>
      <c r="D69" s="55">
        <f>IF(F68+SUM(E$17:E68)=D$10,F68,D$10-SUM(E$17:E68))</f>
        <v>0</v>
      </c>
      <c r="E69" s="56">
        <f t="shared" si="14"/>
        <v>0</v>
      </c>
      <c r="F69" s="55">
        <f t="shared" si="15"/>
        <v>0</v>
      </c>
      <c r="G69" s="57">
        <f t="shared" si="16"/>
        <v>0</v>
      </c>
      <c r="H69" s="42">
        <f t="shared" si="17"/>
        <v>0</v>
      </c>
      <c r="I69" s="52">
        <f t="shared" si="6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>
      <c r="B70" s="7" t="str">
        <f t="shared" si="7"/>
        <v/>
      </c>
      <c r="C70" s="50">
        <f>IF(D11="","-",+C69+1)</f>
        <v>2074</v>
      </c>
      <c r="D70" s="55">
        <f>IF(F69+SUM(E$17:E69)=D$10,F69,D$10-SUM(E$17:E69))</f>
        <v>0</v>
      </c>
      <c r="E70" s="56">
        <f t="shared" si="14"/>
        <v>0</v>
      </c>
      <c r="F70" s="55">
        <f t="shared" si="15"/>
        <v>0</v>
      </c>
      <c r="G70" s="57">
        <f t="shared" si="16"/>
        <v>0</v>
      </c>
      <c r="H70" s="42">
        <f t="shared" si="17"/>
        <v>0</v>
      </c>
      <c r="I70" s="52">
        <f t="shared" si="6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>
      <c r="B71" s="7" t="str">
        <f t="shared" si="7"/>
        <v/>
      </c>
      <c r="C71" s="50">
        <f>IF(D11="","-",+C70+1)</f>
        <v>2075</v>
      </c>
      <c r="D71" s="55">
        <f>IF(F70+SUM(E$17:E70)=D$10,F70,D$10-SUM(E$17:E70))</f>
        <v>0</v>
      </c>
      <c r="E71" s="56">
        <f t="shared" si="14"/>
        <v>0</v>
      </c>
      <c r="F71" s="55">
        <f t="shared" si="15"/>
        <v>0</v>
      </c>
      <c r="G71" s="57">
        <f t="shared" si="16"/>
        <v>0</v>
      </c>
      <c r="H71" s="42">
        <f t="shared" si="17"/>
        <v>0</v>
      </c>
      <c r="I71" s="52">
        <f t="shared" si="6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2076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>
      <c r="C73" s="12" t="s">
        <v>77</v>
      </c>
      <c r="D73" s="267"/>
      <c r="E73" s="267">
        <f>SUM(E17:E72)</f>
        <v>1822797.3900000006</v>
      </c>
      <c r="F73" s="267"/>
      <c r="G73" s="267">
        <f>SUM(G17:G72)</f>
        <v>5894627.1785514569</v>
      </c>
      <c r="H73" s="267">
        <f>SUM(H17:H72)</f>
        <v>5894627.1785514569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30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241650.66247029093</v>
      </c>
      <c r="N87" s="364">
        <f>IF(J92&lt;D11,0,VLOOKUP(J92,C17:O72,11))</f>
        <v>241650.66247029093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228220.49525363438</v>
      </c>
      <c r="N88" s="367">
        <f>IF(J92&lt;D11,0,VLOOKUP(J92,C99:P154,7))</f>
        <v>228220.49525363438</v>
      </c>
      <c r="O88" s="69">
        <f>+N88-M88</f>
        <v>0</v>
      </c>
      <c r="P88" s="1"/>
    </row>
    <row r="89" spans="1:16" ht="13.5" thickBot="1">
      <c r="C89" s="26" t="s">
        <v>92</v>
      </c>
      <c r="D89" s="64" t="str">
        <f>D7</f>
        <v>Tulsa SE - E 21st St Tap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-13430.167216656555</v>
      </c>
      <c r="N89" s="369">
        <f>+N88-N87</f>
        <v>-13430.167216656555</v>
      </c>
      <c r="O89" s="370">
        <f>+O88-O87</f>
        <v>0</v>
      </c>
      <c r="P89" s="1"/>
    </row>
    <row r="90" spans="1:16" ht="13.5" thickBot="1">
      <c r="C90" s="30"/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TP2020033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1822797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>
      <c r="C93" s="37" t="s">
        <v>53</v>
      </c>
      <c r="D93" s="86">
        <f>+D11</f>
        <v>2021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6">
        <f>+D12</f>
        <v>11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49265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>
      <c r="C99" s="50">
        <f>IF(D93= "","-",D93)</f>
        <v>2021</v>
      </c>
      <c r="D99" s="115">
        <v>0</v>
      </c>
      <c r="E99" s="115">
        <v>0</v>
      </c>
      <c r="F99" s="115">
        <v>1504560.18</v>
      </c>
      <c r="G99" s="115">
        <v>752280.09</v>
      </c>
      <c r="H99" s="115">
        <v>81104.253698891524</v>
      </c>
      <c r="I99" s="115">
        <v>81104.253698891524</v>
      </c>
      <c r="J99" s="54">
        <f>+I99-H99</f>
        <v>0</v>
      </c>
      <c r="K99" s="54"/>
      <c r="L99" s="53">
        <f>+H99</f>
        <v>81104.253698891524</v>
      </c>
      <c r="M99" s="53">
        <f t="shared" ref="M99:M130" si="18">IF(L99&lt;&gt;0,+H99-L99,0)</f>
        <v>0</v>
      </c>
      <c r="N99" s="53">
        <f>+I99</f>
        <v>81104.253698891524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>
      <c r="B100" s="7" t="str">
        <f>IF(D100=F99,"","IU")</f>
        <v>IU</v>
      </c>
      <c r="C100" s="450">
        <f>IF(D93="","-",+C99+1)</f>
        <v>2022</v>
      </c>
      <c r="D100" s="115">
        <v>1822797</v>
      </c>
      <c r="E100" s="115">
        <v>43400</v>
      </c>
      <c r="F100" s="115">
        <v>1779397</v>
      </c>
      <c r="G100" s="115">
        <v>1801097</v>
      </c>
      <c r="H100" s="115">
        <v>237578.51138970384</v>
      </c>
      <c r="I100" s="115">
        <v>237578.51138970384</v>
      </c>
      <c r="J100" s="54">
        <f t="shared" ref="J100:J130" si="21">+I100-H100</f>
        <v>0</v>
      </c>
      <c r="K100" s="54"/>
      <c r="L100" s="54">
        <f>+H100</f>
        <v>237578.51138970384</v>
      </c>
      <c r="M100" s="54">
        <f t="shared" ref="M100" si="22">IF(L100&lt;&gt;0,+H100-L100,0)</f>
        <v>0</v>
      </c>
      <c r="N100" s="54">
        <f>+I100</f>
        <v>237578.51138970384</v>
      </c>
      <c r="O100" s="54">
        <f t="shared" ref="O100" si="23">IF(N100&lt;&gt;0,+I100-N100,0)</f>
        <v>0</v>
      </c>
      <c r="P100" s="54">
        <f t="shared" ref="P100" si="24">+O100-M100</f>
        <v>0</v>
      </c>
    </row>
    <row r="101" spans="1:16">
      <c r="B101" s="7" t="str">
        <f t="shared" ref="B101:B154" si="25">IF(D101=F100,"","IU")</f>
        <v/>
      </c>
      <c r="C101" s="50">
        <f>IF(D93="","-",+C100+1)</f>
        <v>2023</v>
      </c>
      <c r="D101" s="115">
        <v>1779397</v>
      </c>
      <c r="E101" s="115">
        <v>43400</v>
      </c>
      <c r="F101" s="115">
        <v>1735997</v>
      </c>
      <c r="G101" s="115">
        <v>1757697</v>
      </c>
      <c r="H101" s="115">
        <v>232899.50332166909</v>
      </c>
      <c r="I101" s="115">
        <v>232899.50332166909</v>
      </c>
      <c r="J101" s="54">
        <f t="shared" si="21"/>
        <v>0</v>
      </c>
      <c r="K101" s="54"/>
      <c r="L101" s="54">
        <f>+H101</f>
        <v>232899.50332166909</v>
      </c>
      <c r="M101" s="54">
        <f t="shared" ref="M101" si="26">IF(L101&lt;&gt;0,+H101-L101,0)</f>
        <v>0</v>
      </c>
      <c r="N101" s="54">
        <f>+I101</f>
        <v>232899.50332166909</v>
      </c>
      <c r="O101" s="54">
        <f t="shared" ref="O101" si="27">IF(N101&lt;&gt;0,+I101-N101,0)</f>
        <v>0</v>
      </c>
      <c r="P101" s="54">
        <f t="shared" ref="P101" si="28">+O101-M101</f>
        <v>0</v>
      </c>
    </row>
    <row r="102" spans="1:16">
      <c r="B102" s="7" t="str">
        <f t="shared" si="25"/>
        <v/>
      </c>
      <c r="C102" s="50">
        <f>IF(D93="","-",+C101+1)</f>
        <v>2024</v>
      </c>
      <c r="D102" s="115">
        <v>1735997</v>
      </c>
      <c r="E102" s="115">
        <v>43400</v>
      </c>
      <c r="F102" s="115">
        <v>1692597</v>
      </c>
      <c r="G102" s="115">
        <v>1714297</v>
      </c>
      <c r="H102" s="115">
        <v>228220.49525363438</v>
      </c>
      <c r="I102" s="115">
        <v>228220.49525363438</v>
      </c>
      <c r="J102" s="54">
        <f t="shared" si="21"/>
        <v>0</v>
      </c>
      <c r="K102" s="54"/>
      <c r="L102" s="54">
        <f>+H102</f>
        <v>228220.49525363438</v>
      </c>
      <c r="M102" s="54">
        <f t="shared" ref="M102" si="29">IF(L102&lt;&gt;0,+H102-L102,0)</f>
        <v>0</v>
      </c>
      <c r="N102" s="54">
        <f>+I102</f>
        <v>228220.49525363438</v>
      </c>
      <c r="O102" s="54">
        <f t="shared" ref="O102" si="30">IF(N102&lt;&gt;0,+I102-N102,0)</f>
        <v>0</v>
      </c>
      <c r="P102" s="54">
        <f t="shared" ref="P102" si="31">+O102-M102</f>
        <v>0</v>
      </c>
    </row>
    <row r="103" spans="1:16">
      <c r="B103" s="7" t="str">
        <f t="shared" si="25"/>
        <v/>
      </c>
      <c r="C103" s="50">
        <f>IF(D93="","-",+C102+1)</f>
        <v>2025</v>
      </c>
      <c r="D103" s="12">
        <f>IF(F102+SUM(E$99:E102)=D$92,F102,D$92-SUM(E$99:E102))</f>
        <v>1692597</v>
      </c>
      <c r="E103" s="56">
        <f t="shared" ref="E103:E154" si="32">IF(+J$96&lt;F102,J$96,D103)</f>
        <v>49265</v>
      </c>
      <c r="F103" s="55">
        <f t="shared" ref="F103:F154" si="33">+D103-E103</f>
        <v>1643332</v>
      </c>
      <c r="G103" s="55">
        <f t="shared" ref="G103:G154" si="34">+(F103+D103)/2</f>
        <v>1667964.5</v>
      </c>
      <c r="H103" s="113">
        <f t="shared" ref="H103:H154" si="35">+J$94*G103+E103</f>
        <v>273303.83956109488</v>
      </c>
      <c r="I103" s="122">
        <f t="shared" ref="I103:I154" si="36">+J$95*G103+E103</f>
        <v>273303.83956109488</v>
      </c>
      <c r="J103" s="54">
        <f t="shared" si="21"/>
        <v>0</v>
      </c>
      <c r="K103" s="54"/>
      <c r="L103" s="115"/>
      <c r="M103" s="54">
        <f t="shared" si="18"/>
        <v>0</v>
      </c>
      <c r="N103" s="115"/>
      <c r="O103" s="54">
        <f t="shared" si="19"/>
        <v>0</v>
      </c>
      <c r="P103" s="54">
        <f t="shared" si="20"/>
        <v>0</v>
      </c>
    </row>
    <row r="104" spans="1:16">
      <c r="B104" s="7" t="str">
        <f t="shared" si="25"/>
        <v/>
      </c>
      <c r="C104" s="50">
        <f>IF(D93="","-",+C103+1)</f>
        <v>2026</v>
      </c>
      <c r="D104" s="12">
        <f>IF(F103+SUM(E$99:E103)=D$92,F103,D$92-SUM(E$99:E103))</f>
        <v>1643332</v>
      </c>
      <c r="E104" s="56">
        <f t="shared" si="32"/>
        <v>49265</v>
      </c>
      <c r="F104" s="55">
        <f t="shared" si="33"/>
        <v>1594067</v>
      </c>
      <c r="G104" s="55">
        <f t="shared" si="34"/>
        <v>1618699.5</v>
      </c>
      <c r="H104" s="113">
        <f t="shared" si="35"/>
        <v>266686.62832489808</v>
      </c>
      <c r="I104" s="122">
        <f t="shared" si="36"/>
        <v>266686.62832489808</v>
      </c>
      <c r="J104" s="54">
        <f t="shared" si="21"/>
        <v>0</v>
      </c>
      <c r="K104" s="54"/>
      <c r="L104" s="115"/>
      <c r="M104" s="54">
        <f t="shared" si="18"/>
        <v>0</v>
      </c>
      <c r="N104" s="115"/>
      <c r="O104" s="54">
        <f t="shared" si="19"/>
        <v>0</v>
      </c>
      <c r="P104" s="54">
        <f t="shared" si="20"/>
        <v>0</v>
      </c>
    </row>
    <row r="105" spans="1:16">
      <c r="B105" s="7" t="str">
        <f t="shared" si="25"/>
        <v/>
      </c>
      <c r="C105" s="50">
        <f>IF(D93="","-",+C104+1)</f>
        <v>2027</v>
      </c>
      <c r="D105" s="12">
        <f>IF(F104+SUM(E$99:E104)=D$92,F104,D$92-SUM(E$99:E104))</f>
        <v>1594067</v>
      </c>
      <c r="E105" s="56">
        <f t="shared" si="32"/>
        <v>49265</v>
      </c>
      <c r="F105" s="55">
        <f t="shared" si="33"/>
        <v>1544802</v>
      </c>
      <c r="G105" s="55">
        <f t="shared" si="34"/>
        <v>1569434.5</v>
      </c>
      <c r="H105" s="113">
        <f t="shared" si="35"/>
        <v>260069.4170887013</v>
      </c>
      <c r="I105" s="122">
        <f t="shared" si="36"/>
        <v>260069.4170887013</v>
      </c>
      <c r="J105" s="54">
        <f t="shared" si="21"/>
        <v>0</v>
      </c>
      <c r="K105" s="54"/>
      <c r="L105" s="115"/>
      <c r="M105" s="54">
        <f t="shared" si="18"/>
        <v>0</v>
      </c>
      <c r="N105" s="115"/>
      <c r="O105" s="54">
        <f t="shared" si="19"/>
        <v>0</v>
      </c>
      <c r="P105" s="54">
        <f t="shared" si="20"/>
        <v>0</v>
      </c>
    </row>
    <row r="106" spans="1:16">
      <c r="B106" s="7" t="str">
        <f t="shared" si="25"/>
        <v/>
      </c>
      <c r="C106" s="50">
        <f>IF(D93="","-",+C105+1)</f>
        <v>2028</v>
      </c>
      <c r="D106" s="12">
        <f>IF(F105+SUM(E$99:E105)=D$92,F105,D$92-SUM(E$99:E105))</f>
        <v>1544802</v>
      </c>
      <c r="E106" s="56">
        <f t="shared" si="32"/>
        <v>49265</v>
      </c>
      <c r="F106" s="55">
        <f t="shared" si="33"/>
        <v>1495537</v>
      </c>
      <c r="G106" s="55">
        <f t="shared" si="34"/>
        <v>1520169.5</v>
      </c>
      <c r="H106" s="113">
        <f t="shared" si="35"/>
        <v>253452.20585250453</v>
      </c>
      <c r="I106" s="122">
        <f t="shared" si="36"/>
        <v>253452.20585250453</v>
      </c>
      <c r="J106" s="54">
        <f t="shared" si="21"/>
        <v>0</v>
      </c>
      <c r="K106" s="54"/>
      <c r="L106" s="115"/>
      <c r="M106" s="54">
        <f t="shared" si="18"/>
        <v>0</v>
      </c>
      <c r="N106" s="115"/>
      <c r="O106" s="54">
        <f t="shared" si="19"/>
        <v>0</v>
      </c>
      <c r="P106" s="54">
        <f t="shared" si="20"/>
        <v>0</v>
      </c>
    </row>
    <row r="107" spans="1:16">
      <c r="B107" s="7" t="str">
        <f t="shared" si="25"/>
        <v/>
      </c>
      <c r="C107" s="50">
        <f>IF(D93="","-",+C106+1)</f>
        <v>2029</v>
      </c>
      <c r="D107" s="12">
        <f>IF(F106+SUM(E$99:E106)=D$92,F106,D$92-SUM(E$99:E106))</f>
        <v>1495537</v>
      </c>
      <c r="E107" s="56">
        <f t="shared" si="32"/>
        <v>49265</v>
      </c>
      <c r="F107" s="55">
        <f t="shared" si="33"/>
        <v>1446272</v>
      </c>
      <c r="G107" s="55">
        <f t="shared" si="34"/>
        <v>1470904.5</v>
      </c>
      <c r="H107" s="113">
        <f t="shared" si="35"/>
        <v>246834.99461630773</v>
      </c>
      <c r="I107" s="122">
        <f t="shared" si="36"/>
        <v>246834.99461630773</v>
      </c>
      <c r="J107" s="54">
        <f t="shared" si="21"/>
        <v>0</v>
      </c>
      <c r="K107" s="54"/>
      <c r="L107" s="115"/>
      <c r="M107" s="54">
        <f t="shared" si="18"/>
        <v>0</v>
      </c>
      <c r="N107" s="115"/>
      <c r="O107" s="54">
        <f t="shared" si="19"/>
        <v>0</v>
      </c>
      <c r="P107" s="54">
        <f t="shared" si="20"/>
        <v>0</v>
      </c>
    </row>
    <row r="108" spans="1:16">
      <c r="B108" s="7" t="str">
        <f t="shared" si="25"/>
        <v/>
      </c>
      <c r="C108" s="50">
        <f>IF(D93="","-",+C107+1)</f>
        <v>2030</v>
      </c>
      <c r="D108" s="12">
        <f>IF(F107+SUM(E$99:E107)=D$92,F107,D$92-SUM(E$99:E107))</f>
        <v>1446272</v>
      </c>
      <c r="E108" s="56">
        <f t="shared" si="32"/>
        <v>49265</v>
      </c>
      <c r="F108" s="55">
        <f t="shared" si="33"/>
        <v>1397007</v>
      </c>
      <c r="G108" s="55">
        <f t="shared" si="34"/>
        <v>1421639.5</v>
      </c>
      <c r="H108" s="113">
        <f t="shared" si="35"/>
        <v>240217.78338011095</v>
      </c>
      <c r="I108" s="122">
        <f t="shared" si="36"/>
        <v>240217.78338011095</v>
      </c>
      <c r="J108" s="54">
        <f t="shared" si="21"/>
        <v>0</v>
      </c>
      <c r="K108" s="54"/>
      <c r="L108" s="115"/>
      <c r="M108" s="54">
        <f t="shared" si="18"/>
        <v>0</v>
      </c>
      <c r="N108" s="115"/>
      <c r="O108" s="54">
        <f t="shared" si="19"/>
        <v>0</v>
      </c>
      <c r="P108" s="54">
        <f t="shared" si="20"/>
        <v>0</v>
      </c>
    </row>
    <row r="109" spans="1:16">
      <c r="B109" s="7" t="str">
        <f t="shared" si="25"/>
        <v/>
      </c>
      <c r="C109" s="50">
        <f>IF(D93="","-",+C108+1)</f>
        <v>2031</v>
      </c>
      <c r="D109" s="12">
        <f>IF(F108+SUM(E$99:E108)=D$92,F108,D$92-SUM(E$99:E108))</f>
        <v>1397007</v>
      </c>
      <c r="E109" s="56">
        <f t="shared" si="32"/>
        <v>49265</v>
      </c>
      <c r="F109" s="55">
        <f t="shared" si="33"/>
        <v>1347742</v>
      </c>
      <c r="G109" s="55">
        <f t="shared" si="34"/>
        <v>1372374.5</v>
      </c>
      <c r="H109" s="113">
        <f t="shared" si="35"/>
        <v>233600.57214391418</v>
      </c>
      <c r="I109" s="122">
        <f t="shared" si="36"/>
        <v>233600.57214391418</v>
      </c>
      <c r="J109" s="54">
        <f t="shared" si="21"/>
        <v>0</v>
      </c>
      <c r="K109" s="54"/>
      <c r="L109" s="115"/>
      <c r="M109" s="54">
        <f t="shared" si="18"/>
        <v>0</v>
      </c>
      <c r="N109" s="115"/>
      <c r="O109" s="54">
        <f t="shared" si="19"/>
        <v>0</v>
      </c>
      <c r="P109" s="54">
        <f t="shared" si="20"/>
        <v>0</v>
      </c>
    </row>
    <row r="110" spans="1:16">
      <c r="B110" s="7" t="str">
        <f t="shared" si="25"/>
        <v/>
      </c>
      <c r="C110" s="50">
        <f>IF(D93="","-",+C109+1)</f>
        <v>2032</v>
      </c>
      <c r="D110" s="12">
        <f>IF(F109+SUM(E$99:E109)=D$92,F109,D$92-SUM(E$99:E109))</f>
        <v>1347742</v>
      </c>
      <c r="E110" s="56">
        <f t="shared" si="32"/>
        <v>49265</v>
      </c>
      <c r="F110" s="55">
        <f t="shared" si="33"/>
        <v>1298477</v>
      </c>
      <c r="G110" s="55">
        <f t="shared" si="34"/>
        <v>1323109.5</v>
      </c>
      <c r="H110" s="113">
        <f t="shared" si="35"/>
        <v>226983.3609077174</v>
      </c>
      <c r="I110" s="122">
        <f t="shared" si="36"/>
        <v>226983.3609077174</v>
      </c>
      <c r="J110" s="54">
        <f t="shared" si="21"/>
        <v>0</v>
      </c>
      <c r="K110" s="54"/>
      <c r="L110" s="115"/>
      <c r="M110" s="54">
        <f t="shared" si="18"/>
        <v>0</v>
      </c>
      <c r="N110" s="115"/>
      <c r="O110" s="54">
        <f t="shared" si="19"/>
        <v>0</v>
      </c>
      <c r="P110" s="54">
        <f t="shared" si="20"/>
        <v>0</v>
      </c>
    </row>
    <row r="111" spans="1:16">
      <c r="B111" s="7" t="str">
        <f t="shared" si="25"/>
        <v/>
      </c>
      <c r="C111" s="50">
        <f>IF(D93="","-",+C110+1)</f>
        <v>2033</v>
      </c>
      <c r="D111" s="12">
        <f>IF(F110+SUM(E$99:E110)=D$92,F110,D$92-SUM(E$99:E110))</f>
        <v>1298477</v>
      </c>
      <c r="E111" s="56">
        <f t="shared" si="32"/>
        <v>49265</v>
      </c>
      <c r="F111" s="55">
        <f t="shared" si="33"/>
        <v>1249212</v>
      </c>
      <c r="G111" s="55">
        <f t="shared" si="34"/>
        <v>1273844.5</v>
      </c>
      <c r="H111" s="113">
        <f t="shared" si="35"/>
        <v>220366.14967152063</v>
      </c>
      <c r="I111" s="122">
        <f t="shared" si="36"/>
        <v>220366.14967152063</v>
      </c>
      <c r="J111" s="54">
        <f t="shared" si="21"/>
        <v>0</v>
      </c>
      <c r="K111" s="54"/>
      <c r="L111" s="115"/>
      <c r="M111" s="54">
        <f t="shared" si="18"/>
        <v>0</v>
      </c>
      <c r="N111" s="115"/>
      <c r="O111" s="54">
        <f t="shared" si="19"/>
        <v>0</v>
      </c>
      <c r="P111" s="54">
        <f t="shared" si="20"/>
        <v>0</v>
      </c>
    </row>
    <row r="112" spans="1:16">
      <c r="B112" s="7" t="str">
        <f t="shared" si="25"/>
        <v/>
      </c>
      <c r="C112" s="50">
        <f>IF(D93="","-",+C111+1)</f>
        <v>2034</v>
      </c>
      <c r="D112" s="12">
        <f>IF(F111+SUM(E$99:E111)=D$92,F111,D$92-SUM(E$99:E111))</f>
        <v>1249212</v>
      </c>
      <c r="E112" s="56">
        <f t="shared" si="32"/>
        <v>49265</v>
      </c>
      <c r="F112" s="55">
        <f t="shared" si="33"/>
        <v>1199947</v>
      </c>
      <c r="G112" s="55">
        <f t="shared" si="34"/>
        <v>1224579.5</v>
      </c>
      <c r="H112" s="113">
        <f t="shared" si="35"/>
        <v>213748.93843532386</v>
      </c>
      <c r="I112" s="122">
        <f t="shared" si="36"/>
        <v>213748.93843532386</v>
      </c>
      <c r="J112" s="54">
        <f t="shared" si="21"/>
        <v>0</v>
      </c>
      <c r="K112" s="54"/>
      <c r="L112" s="115"/>
      <c r="M112" s="54">
        <f t="shared" si="18"/>
        <v>0</v>
      </c>
      <c r="N112" s="115"/>
      <c r="O112" s="54">
        <f t="shared" si="19"/>
        <v>0</v>
      </c>
      <c r="P112" s="54">
        <f t="shared" si="20"/>
        <v>0</v>
      </c>
    </row>
    <row r="113" spans="2:16">
      <c r="B113" s="7" t="str">
        <f t="shared" si="25"/>
        <v/>
      </c>
      <c r="C113" s="50">
        <f>IF(D93="","-",+C112+1)</f>
        <v>2035</v>
      </c>
      <c r="D113" s="12">
        <f>IF(F112+SUM(E$99:E112)=D$92,F112,D$92-SUM(E$99:E112))</f>
        <v>1199947</v>
      </c>
      <c r="E113" s="56">
        <f t="shared" si="32"/>
        <v>49265</v>
      </c>
      <c r="F113" s="55">
        <f t="shared" si="33"/>
        <v>1150682</v>
      </c>
      <c r="G113" s="55">
        <f t="shared" si="34"/>
        <v>1175314.5</v>
      </c>
      <c r="H113" s="113">
        <f t="shared" si="35"/>
        <v>207131.72719912708</v>
      </c>
      <c r="I113" s="122">
        <f t="shared" si="36"/>
        <v>207131.72719912708</v>
      </c>
      <c r="J113" s="54">
        <f t="shared" si="21"/>
        <v>0</v>
      </c>
      <c r="K113" s="54"/>
      <c r="L113" s="115"/>
      <c r="M113" s="54">
        <f t="shared" si="18"/>
        <v>0</v>
      </c>
      <c r="N113" s="115"/>
      <c r="O113" s="54">
        <f t="shared" si="19"/>
        <v>0</v>
      </c>
      <c r="P113" s="54">
        <f t="shared" si="20"/>
        <v>0</v>
      </c>
    </row>
    <row r="114" spans="2:16">
      <c r="B114" s="7" t="str">
        <f t="shared" si="25"/>
        <v/>
      </c>
      <c r="C114" s="50">
        <f>IF(D93="","-",+C113+1)</f>
        <v>2036</v>
      </c>
      <c r="D114" s="12">
        <f>IF(F113+SUM(E$99:E113)=D$92,F113,D$92-SUM(E$99:E113))</f>
        <v>1150682</v>
      </c>
      <c r="E114" s="56">
        <f t="shared" si="32"/>
        <v>49265</v>
      </c>
      <c r="F114" s="55">
        <f t="shared" si="33"/>
        <v>1101417</v>
      </c>
      <c r="G114" s="55">
        <f t="shared" si="34"/>
        <v>1126049.5</v>
      </c>
      <c r="H114" s="113">
        <f t="shared" si="35"/>
        <v>200514.51596293031</v>
      </c>
      <c r="I114" s="122">
        <f t="shared" si="36"/>
        <v>200514.51596293031</v>
      </c>
      <c r="J114" s="54">
        <f t="shared" si="21"/>
        <v>0</v>
      </c>
      <c r="K114" s="54"/>
      <c r="L114" s="115"/>
      <c r="M114" s="54">
        <f t="shared" si="18"/>
        <v>0</v>
      </c>
      <c r="N114" s="115"/>
      <c r="O114" s="54">
        <f t="shared" si="19"/>
        <v>0</v>
      </c>
      <c r="P114" s="54">
        <f t="shared" si="20"/>
        <v>0</v>
      </c>
    </row>
    <row r="115" spans="2:16">
      <c r="B115" s="7" t="str">
        <f t="shared" si="25"/>
        <v/>
      </c>
      <c r="C115" s="50">
        <f>IF(D93="","-",+C114+1)</f>
        <v>2037</v>
      </c>
      <c r="D115" s="12">
        <f>IF(F114+SUM(E$99:E114)=D$92,F114,D$92-SUM(E$99:E114))</f>
        <v>1101417</v>
      </c>
      <c r="E115" s="56">
        <f t="shared" si="32"/>
        <v>49265</v>
      </c>
      <c r="F115" s="55">
        <f t="shared" si="33"/>
        <v>1052152</v>
      </c>
      <c r="G115" s="55">
        <f t="shared" si="34"/>
        <v>1076784.5</v>
      </c>
      <c r="H115" s="113">
        <f t="shared" si="35"/>
        <v>193897.30472673354</v>
      </c>
      <c r="I115" s="122">
        <f t="shared" si="36"/>
        <v>193897.30472673354</v>
      </c>
      <c r="J115" s="54">
        <f t="shared" si="21"/>
        <v>0</v>
      </c>
      <c r="K115" s="54"/>
      <c r="L115" s="115"/>
      <c r="M115" s="54">
        <f t="shared" si="18"/>
        <v>0</v>
      </c>
      <c r="N115" s="115"/>
      <c r="O115" s="54">
        <f t="shared" si="19"/>
        <v>0</v>
      </c>
      <c r="P115" s="54">
        <f t="shared" si="20"/>
        <v>0</v>
      </c>
    </row>
    <row r="116" spans="2:16">
      <c r="B116" s="7" t="str">
        <f t="shared" si="25"/>
        <v/>
      </c>
      <c r="C116" s="50">
        <f>IF(D93="","-",+C115+1)</f>
        <v>2038</v>
      </c>
      <c r="D116" s="12">
        <f>IF(F115+SUM(E$99:E115)=D$92,F115,D$92-SUM(E$99:E115))</f>
        <v>1052152</v>
      </c>
      <c r="E116" s="56">
        <f t="shared" si="32"/>
        <v>49265</v>
      </c>
      <c r="F116" s="55">
        <f t="shared" si="33"/>
        <v>1002887</v>
      </c>
      <c r="G116" s="55">
        <f t="shared" si="34"/>
        <v>1027519.5</v>
      </c>
      <c r="H116" s="113">
        <f t="shared" si="35"/>
        <v>187280.09349053676</v>
      </c>
      <c r="I116" s="122">
        <f t="shared" si="36"/>
        <v>187280.09349053676</v>
      </c>
      <c r="J116" s="54">
        <f t="shared" si="21"/>
        <v>0</v>
      </c>
      <c r="K116" s="54"/>
      <c r="L116" s="115"/>
      <c r="M116" s="54">
        <f t="shared" si="18"/>
        <v>0</v>
      </c>
      <c r="N116" s="115"/>
      <c r="O116" s="54">
        <f t="shared" si="19"/>
        <v>0</v>
      </c>
      <c r="P116" s="54">
        <f t="shared" si="20"/>
        <v>0</v>
      </c>
    </row>
    <row r="117" spans="2:16">
      <c r="B117" s="7" t="str">
        <f t="shared" si="25"/>
        <v/>
      </c>
      <c r="C117" s="50">
        <f>IF(D93="","-",+C116+1)</f>
        <v>2039</v>
      </c>
      <c r="D117" s="12">
        <f>IF(F116+SUM(E$99:E116)=D$92,F116,D$92-SUM(E$99:E116))</f>
        <v>1002887</v>
      </c>
      <c r="E117" s="56">
        <f t="shared" si="32"/>
        <v>49265</v>
      </c>
      <c r="F117" s="55">
        <f t="shared" si="33"/>
        <v>953622</v>
      </c>
      <c r="G117" s="55">
        <f t="shared" si="34"/>
        <v>978254.5</v>
      </c>
      <c r="H117" s="113">
        <f t="shared" si="35"/>
        <v>180662.88225433999</v>
      </c>
      <c r="I117" s="122">
        <f t="shared" si="36"/>
        <v>180662.88225433999</v>
      </c>
      <c r="J117" s="54">
        <f t="shared" si="21"/>
        <v>0</v>
      </c>
      <c r="K117" s="54"/>
      <c r="L117" s="115"/>
      <c r="M117" s="54">
        <f t="shared" si="18"/>
        <v>0</v>
      </c>
      <c r="N117" s="115"/>
      <c r="O117" s="54">
        <f t="shared" si="19"/>
        <v>0</v>
      </c>
      <c r="P117" s="54">
        <f t="shared" si="20"/>
        <v>0</v>
      </c>
    </row>
    <row r="118" spans="2:16">
      <c r="B118" s="7" t="str">
        <f t="shared" si="25"/>
        <v/>
      </c>
      <c r="C118" s="50">
        <f>IF(D93="","-",+C117+1)</f>
        <v>2040</v>
      </c>
      <c r="D118" s="12">
        <f>IF(F117+SUM(E$99:E117)=D$92,F117,D$92-SUM(E$99:E117))</f>
        <v>953622</v>
      </c>
      <c r="E118" s="56">
        <f t="shared" si="32"/>
        <v>49265</v>
      </c>
      <c r="F118" s="55">
        <f t="shared" si="33"/>
        <v>904357</v>
      </c>
      <c r="G118" s="55">
        <f t="shared" si="34"/>
        <v>928989.5</v>
      </c>
      <c r="H118" s="113">
        <f t="shared" si="35"/>
        <v>174045.67101814318</v>
      </c>
      <c r="I118" s="122">
        <f t="shared" si="36"/>
        <v>174045.67101814318</v>
      </c>
      <c r="J118" s="54">
        <f t="shared" si="21"/>
        <v>0</v>
      </c>
      <c r="K118" s="54"/>
      <c r="L118" s="115"/>
      <c r="M118" s="54">
        <f t="shared" si="18"/>
        <v>0</v>
      </c>
      <c r="N118" s="115"/>
      <c r="O118" s="54">
        <f t="shared" si="19"/>
        <v>0</v>
      </c>
      <c r="P118" s="54">
        <f t="shared" si="20"/>
        <v>0</v>
      </c>
    </row>
    <row r="119" spans="2:16">
      <c r="B119" s="7" t="str">
        <f t="shared" si="25"/>
        <v/>
      </c>
      <c r="C119" s="50">
        <f>IF(D93="","-",+C118+1)</f>
        <v>2041</v>
      </c>
      <c r="D119" s="12">
        <f>IF(F118+SUM(E$99:E118)=D$92,F118,D$92-SUM(E$99:E118))</f>
        <v>904357</v>
      </c>
      <c r="E119" s="56">
        <f t="shared" si="32"/>
        <v>49265</v>
      </c>
      <c r="F119" s="55">
        <f t="shared" si="33"/>
        <v>855092</v>
      </c>
      <c r="G119" s="55">
        <f t="shared" si="34"/>
        <v>879724.5</v>
      </c>
      <c r="H119" s="113">
        <f t="shared" si="35"/>
        <v>167428.45978194644</v>
      </c>
      <c r="I119" s="122">
        <f t="shared" si="36"/>
        <v>167428.45978194644</v>
      </c>
      <c r="J119" s="54">
        <f t="shared" si="21"/>
        <v>0</v>
      </c>
      <c r="K119" s="54"/>
      <c r="L119" s="115"/>
      <c r="M119" s="54">
        <f t="shared" si="18"/>
        <v>0</v>
      </c>
      <c r="N119" s="115"/>
      <c r="O119" s="54">
        <f t="shared" si="19"/>
        <v>0</v>
      </c>
      <c r="P119" s="54">
        <f t="shared" si="20"/>
        <v>0</v>
      </c>
    </row>
    <row r="120" spans="2:16">
      <c r="B120" s="7" t="str">
        <f t="shared" si="25"/>
        <v/>
      </c>
      <c r="C120" s="50">
        <f>IF(D93="","-",+C119+1)</f>
        <v>2042</v>
      </c>
      <c r="D120" s="12">
        <f>IF(F119+SUM(E$99:E119)=D$92,F119,D$92-SUM(E$99:E119))</f>
        <v>855092</v>
      </c>
      <c r="E120" s="56">
        <f t="shared" si="32"/>
        <v>49265</v>
      </c>
      <c r="F120" s="55">
        <f t="shared" si="33"/>
        <v>805827</v>
      </c>
      <c r="G120" s="55">
        <f t="shared" si="34"/>
        <v>830459.5</v>
      </c>
      <c r="H120" s="113">
        <f t="shared" si="35"/>
        <v>160811.24854574964</v>
      </c>
      <c r="I120" s="122">
        <f t="shared" si="36"/>
        <v>160811.24854574964</v>
      </c>
      <c r="J120" s="54">
        <f t="shared" si="21"/>
        <v>0</v>
      </c>
      <c r="K120" s="54"/>
      <c r="L120" s="115"/>
      <c r="M120" s="54">
        <f t="shared" si="18"/>
        <v>0</v>
      </c>
      <c r="N120" s="115"/>
      <c r="O120" s="54">
        <f t="shared" si="19"/>
        <v>0</v>
      </c>
      <c r="P120" s="54">
        <f t="shared" si="20"/>
        <v>0</v>
      </c>
    </row>
    <row r="121" spans="2:16">
      <c r="B121" s="7" t="str">
        <f t="shared" si="25"/>
        <v/>
      </c>
      <c r="C121" s="50">
        <f>IF(D93="","-",+C120+1)</f>
        <v>2043</v>
      </c>
      <c r="D121" s="12">
        <f>IF(F120+SUM(E$99:E120)=D$92,F120,D$92-SUM(E$99:E120))</f>
        <v>805827</v>
      </c>
      <c r="E121" s="56">
        <f t="shared" si="32"/>
        <v>49265</v>
      </c>
      <c r="F121" s="55">
        <f t="shared" si="33"/>
        <v>756562</v>
      </c>
      <c r="G121" s="55">
        <f t="shared" si="34"/>
        <v>781194.5</v>
      </c>
      <c r="H121" s="113">
        <f t="shared" si="35"/>
        <v>154194.03730955289</v>
      </c>
      <c r="I121" s="122">
        <f t="shared" si="36"/>
        <v>154194.03730955289</v>
      </c>
      <c r="J121" s="54">
        <f t="shared" si="21"/>
        <v>0</v>
      </c>
      <c r="K121" s="54"/>
      <c r="L121" s="115"/>
      <c r="M121" s="54">
        <f t="shared" si="18"/>
        <v>0</v>
      </c>
      <c r="N121" s="115"/>
      <c r="O121" s="54">
        <f t="shared" si="19"/>
        <v>0</v>
      </c>
      <c r="P121" s="54">
        <f t="shared" si="20"/>
        <v>0</v>
      </c>
    </row>
    <row r="122" spans="2:16">
      <c r="B122" s="7" t="str">
        <f t="shared" si="25"/>
        <v/>
      </c>
      <c r="C122" s="50">
        <f>IF(D93="","-",+C121+1)</f>
        <v>2044</v>
      </c>
      <c r="D122" s="12">
        <f>IF(F121+SUM(E$99:E121)=D$92,F121,D$92-SUM(E$99:E121))</f>
        <v>756562</v>
      </c>
      <c r="E122" s="56">
        <f t="shared" si="32"/>
        <v>49265</v>
      </c>
      <c r="F122" s="55">
        <f t="shared" si="33"/>
        <v>707297</v>
      </c>
      <c r="G122" s="55">
        <f t="shared" si="34"/>
        <v>731929.5</v>
      </c>
      <c r="H122" s="113">
        <f t="shared" si="35"/>
        <v>147576.82607335609</v>
      </c>
      <c r="I122" s="122">
        <f t="shared" si="36"/>
        <v>147576.82607335609</v>
      </c>
      <c r="J122" s="54">
        <f t="shared" si="21"/>
        <v>0</v>
      </c>
      <c r="K122" s="54"/>
      <c r="L122" s="115"/>
      <c r="M122" s="54">
        <f t="shared" si="18"/>
        <v>0</v>
      </c>
      <c r="N122" s="115"/>
      <c r="O122" s="54">
        <f t="shared" si="19"/>
        <v>0</v>
      </c>
      <c r="P122" s="54">
        <f t="shared" si="20"/>
        <v>0</v>
      </c>
    </row>
    <row r="123" spans="2:16">
      <c r="B123" s="7" t="str">
        <f t="shared" si="25"/>
        <v/>
      </c>
      <c r="C123" s="50">
        <f>IF(D93="","-",+C122+1)</f>
        <v>2045</v>
      </c>
      <c r="D123" s="12">
        <f>IF(F122+SUM(E$99:E122)=D$92,F122,D$92-SUM(E$99:E122))</f>
        <v>707297</v>
      </c>
      <c r="E123" s="56">
        <f t="shared" si="32"/>
        <v>49265</v>
      </c>
      <c r="F123" s="55">
        <f t="shared" si="33"/>
        <v>658032</v>
      </c>
      <c r="G123" s="55">
        <f t="shared" si="34"/>
        <v>682664.5</v>
      </c>
      <c r="H123" s="113">
        <f t="shared" si="35"/>
        <v>140959.61483715932</v>
      </c>
      <c r="I123" s="122">
        <f t="shared" si="36"/>
        <v>140959.61483715932</v>
      </c>
      <c r="J123" s="54">
        <f t="shared" si="21"/>
        <v>0</v>
      </c>
      <c r="K123" s="54"/>
      <c r="L123" s="115"/>
      <c r="M123" s="54">
        <f t="shared" si="18"/>
        <v>0</v>
      </c>
      <c r="N123" s="115"/>
      <c r="O123" s="54">
        <f t="shared" si="19"/>
        <v>0</v>
      </c>
      <c r="P123" s="54">
        <f t="shared" si="20"/>
        <v>0</v>
      </c>
    </row>
    <row r="124" spans="2:16">
      <c r="B124" s="7" t="str">
        <f t="shared" si="25"/>
        <v/>
      </c>
      <c r="C124" s="50">
        <f>IF(D93="","-",+C123+1)</f>
        <v>2046</v>
      </c>
      <c r="D124" s="12">
        <f>IF(F123+SUM(E$99:E123)=D$92,F123,D$92-SUM(E$99:E123))</f>
        <v>658032</v>
      </c>
      <c r="E124" s="56">
        <f t="shared" si="32"/>
        <v>49265</v>
      </c>
      <c r="F124" s="55">
        <f t="shared" si="33"/>
        <v>608767</v>
      </c>
      <c r="G124" s="55">
        <f t="shared" si="34"/>
        <v>633399.5</v>
      </c>
      <c r="H124" s="113">
        <f t="shared" si="35"/>
        <v>134342.40360096254</v>
      </c>
      <c r="I124" s="122">
        <f t="shared" si="36"/>
        <v>134342.40360096254</v>
      </c>
      <c r="J124" s="54">
        <f t="shared" si="21"/>
        <v>0</v>
      </c>
      <c r="K124" s="54"/>
      <c r="L124" s="115"/>
      <c r="M124" s="54">
        <f t="shared" si="18"/>
        <v>0</v>
      </c>
      <c r="N124" s="115"/>
      <c r="O124" s="54">
        <f t="shared" si="19"/>
        <v>0</v>
      </c>
      <c r="P124" s="54">
        <f t="shared" si="20"/>
        <v>0</v>
      </c>
    </row>
    <row r="125" spans="2:16">
      <c r="B125" s="7" t="str">
        <f t="shared" si="25"/>
        <v/>
      </c>
      <c r="C125" s="50">
        <f>IF(D93="","-",+C124+1)</f>
        <v>2047</v>
      </c>
      <c r="D125" s="12">
        <f>IF(F124+SUM(E$99:E124)=D$92,F124,D$92-SUM(E$99:E124))</f>
        <v>608767</v>
      </c>
      <c r="E125" s="56">
        <f t="shared" si="32"/>
        <v>49265</v>
      </c>
      <c r="F125" s="55">
        <f t="shared" si="33"/>
        <v>559502</v>
      </c>
      <c r="G125" s="55">
        <f t="shared" si="34"/>
        <v>584134.5</v>
      </c>
      <c r="H125" s="113">
        <f t="shared" si="35"/>
        <v>127725.19236476577</v>
      </c>
      <c r="I125" s="122">
        <f t="shared" si="36"/>
        <v>127725.19236476577</v>
      </c>
      <c r="J125" s="54">
        <f t="shared" si="21"/>
        <v>0</v>
      </c>
      <c r="K125" s="54"/>
      <c r="L125" s="115"/>
      <c r="M125" s="54">
        <f t="shared" si="18"/>
        <v>0</v>
      </c>
      <c r="N125" s="115"/>
      <c r="O125" s="54">
        <f t="shared" si="19"/>
        <v>0</v>
      </c>
      <c r="P125" s="54">
        <f t="shared" si="20"/>
        <v>0</v>
      </c>
    </row>
    <row r="126" spans="2:16">
      <c r="B126" s="7" t="str">
        <f t="shared" si="25"/>
        <v/>
      </c>
      <c r="C126" s="50">
        <f>IF(D93="","-",+C125+1)</f>
        <v>2048</v>
      </c>
      <c r="D126" s="12">
        <f>IF(F125+SUM(E$99:E125)=D$92,F125,D$92-SUM(E$99:E125))</f>
        <v>559502</v>
      </c>
      <c r="E126" s="56">
        <f t="shared" si="32"/>
        <v>49265</v>
      </c>
      <c r="F126" s="55">
        <f t="shared" si="33"/>
        <v>510237</v>
      </c>
      <c r="G126" s="55">
        <f t="shared" si="34"/>
        <v>534869.5</v>
      </c>
      <c r="H126" s="113">
        <f t="shared" si="35"/>
        <v>121107.98112856899</v>
      </c>
      <c r="I126" s="122">
        <f t="shared" si="36"/>
        <v>121107.98112856899</v>
      </c>
      <c r="J126" s="54">
        <f t="shared" si="21"/>
        <v>0</v>
      </c>
      <c r="K126" s="54"/>
      <c r="L126" s="115"/>
      <c r="M126" s="54">
        <f t="shared" si="18"/>
        <v>0</v>
      </c>
      <c r="N126" s="115"/>
      <c r="O126" s="54">
        <f t="shared" si="19"/>
        <v>0</v>
      </c>
      <c r="P126" s="54">
        <f t="shared" si="20"/>
        <v>0</v>
      </c>
    </row>
    <row r="127" spans="2:16">
      <c r="B127" s="7" t="str">
        <f t="shared" si="25"/>
        <v/>
      </c>
      <c r="C127" s="50">
        <f>IF(D93="","-",+C126+1)</f>
        <v>2049</v>
      </c>
      <c r="D127" s="12">
        <f>IF(F126+SUM(E$99:E126)=D$92,F126,D$92-SUM(E$99:E126))</f>
        <v>510237</v>
      </c>
      <c r="E127" s="56">
        <f t="shared" si="32"/>
        <v>49265</v>
      </c>
      <c r="F127" s="55">
        <f t="shared" si="33"/>
        <v>460972</v>
      </c>
      <c r="G127" s="55">
        <f t="shared" si="34"/>
        <v>485604.5</v>
      </c>
      <c r="H127" s="113">
        <f t="shared" si="35"/>
        <v>114490.76989237222</v>
      </c>
      <c r="I127" s="122">
        <f t="shared" si="36"/>
        <v>114490.76989237222</v>
      </c>
      <c r="J127" s="54">
        <f t="shared" si="21"/>
        <v>0</v>
      </c>
      <c r="K127" s="54"/>
      <c r="L127" s="115"/>
      <c r="M127" s="54">
        <f t="shared" si="18"/>
        <v>0</v>
      </c>
      <c r="N127" s="115"/>
      <c r="O127" s="54">
        <f t="shared" si="19"/>
        <v>0</v>
      </c>
      <c r="P127" s="54">
        <f t="shared" si="20"/>
        <v>0</v>
      </c>
    </row>
    <row r="128" spans="2:16">
      <c r="B128" s="7" t="str">
        <f t="shared" si="25"/>
        <v/>
      </c>
      <c r="C128" s="50">
        <f>IF(D93="","-",+C127+1)</f>
        <v>2050</v>
      </c>
      <c r="D128" s="12">
        <f>IF(F127+SUM(E$99:E127)=D$92,F127,D$92-SUM(E$99:E127))</f>
        <v>460972</v>
      </c>
      <c r="E128" s="56">
        <f t="shared" si="32"/>
        <v>49265</v>
      </c>
      <c r="F128" s="55">
        <f t="shared" si="33"/>
        <v>411707</v>
      </c>
      <c r="G128" s="55">
        <f t="shared" si="34"/>
        <v>436339.5</v>
      </c>
      <c r="H128" s="113">
        <f t="shared" si="35"/>
        <v>107873.55865617545</v>
      </c>
      <c r="I128" s="122">
        <f t="shared" si="36"/>
        <v>107873.55865617545</v>
      </c>
      <c r="J128" s="54">
        <f t="shared" si="21"/>
        <v>0</v>
      </c>
      <c r="K128" s="54"/>
      <c r="L128" s="115"/>
      <c r="M128" s="54">
        <f t="shared" si="18"/>
        <v>0</v>
      </c>
      <c r="N128" s="115"/>
      <c r="O128" s="54">
        <f t="shared" si="19"/>
        <v>0</v>
      </c>
      <c r="P128" s="54">
        <f t="shared" si="20"/>
        <v>0</v>
      </c>
    </row>
    <row r="129" spans="2:16">
      <c r="B129" s="7" t="str">
        <f t="shared" si="25"/>
        <v/>
      </c>
      <c r="C129" s="50">
        <f>IF(D93="","-",+C128+1)</f>
        <v>2051</v>
      </c>
      <c r="D129" s="12">
        <f>IF(F128+SUM(E$99:E128)=D$92,F128,D$92-SUM(E$99:E128))</f>
        <v>411707</v>
      </c>
      <c r="E129" s="56">
        <f t="shared" si="32"/>
        <v>49265</v>
      </c>
      <c r="F129" s="55">
        <f t="shared" si="33"/>
        <v>362442</v>
      </c>
      <c r="G129" s="55">
        <f t="shared" si="34"/>
        <v>387074.5</v>
      </c>
      <c r="H129" s="113">
        <f t="shared" si="35"/>
        <v>101256.34741997867</v>
      </c>
      <c r="I129" s="122">
        <f t="shared" si="36"/>
        <v>101256.34741997867</v>
      </c>
      <c r="J129" s="54">
        <f t="shared" si="21"/>
        <v>0</v>
      </c>
      <c r="K129" s="54"/>
      <c r="L129" s="115"/>
      <c r="M129" s="54">
        <f t="shared" si="18"/>
        <v>0</v>
      </c>
      <c r="N129" s="115"/>
      <c r="O129" s="54">
        <f t="shared" si="19"/>
        <v>0</v>
      </c>
      <c r="P129" s="54">
        <f t="shared" si="20"/>
        <v>0</v>
      </c>
    </row>
    <row r="130" spans="2:16">
      <c r="B130" s="7" t="str">
        <f t="shared" si="25"/>
        <v/>
      </c>
      <c r="C130" s="50">
        <f>IF(D93="","-",+C129+1)</f>
        <v>2052</v>
      </c>
      <c r="D130" s="12">
        <f>IF(F129+SUM(E$99:E129)=D$92,F129,D$92-SUM(E$99:E129))</f>
        <v>362442</v>
      </c>
      <c r="E130" s="56">
        <f t="shared" si="32"/>
        <v>49265</v>
      </c>
      <c r="F130" s="55">
        <f t="shared" si="33"/>
        <v>313177</v>
      </c>
      <c r="G130" s="55">
        <f t="shared" si="34"/>
        <v>337809.5</v>
      </c>
      <c r="H130" s="113">
        <f t="shared" si="35"/>
        <v>94639.136183781899</v>
      </c>
      <c r="I130" s="122">
        <f t="shared" si="36"/>
        <v>94639.136183781899</v>
      </c>
      <c r="J130" s="54">
        <f t="shared" si="21"/>
        <v>0</v>
      </c>
      <c r="K130" s="54"/>
      <c r="L130" s="115"/>
      <c r="M130" s="54">
        <f t="shared" si="18"/>
        <v>0</v>
      </c>
      <c r="N130" s="115"/>
      <c r="O130" s="54">
        <f t="shared" si="19"/>
        <v>0</v>
      </c>
      <c r="P130" s="54">
        <f t="shared" si="20"/>
        <v>0</v>
      </c>
    </row>
    <row r="131" spans="2:16">
      <c r="B131" s="7" t="str">
        <f t="shared" si="25"/>
        <v/>
      </c>
      <c r="C131" s="50">
        <f>IF(D93="","-",+C130+1)</f>
        <v>2053</v>
      </c>
      <c r="D131" s="12">
        <f>IF(F130+SUM(E$99:E130)=D$92,F130,D$92-SUM(E$99:E130))</f>
        <v>313177</v>
      </c>
      <c r="E131" s="56">
        <f t="shared" si="32"/>
        <v>49265</v>
      </c>
      <c r="F131" s="55">
        <f t="shared" si="33"/>
        <v>263912</v>
      </c>
      <c r="G131" s="55">
        <f t="shared" si="34"/>
        <v>288544.5</v>
      </c>
      <c r="H131" s="113">
        <f t="shared" si="35"/>
        <v>88021.924947585125</v>
      </c>
      <c r="I131" s="122">
        <f t="shared" si="36"/>
        <v>88021.924947585125</v>
      </c>
      <c r="J131" s="54">
        <f t="shared" ref="J131:J154" si="37">+I540-H540</f>
        <v>0</v>
      </c>
      <c r="K131" s="54"/>
      <c r="L131" s="115"/>
      <c r="M131" s="54">
        <f t="shared" ref="M131:M154" si="38">IF(L540&lt;&gt;0,+H540-L540,0)</f>
        <v>0</v>
      </c>
      <c r="N131" s="115"/>
      <c r="O131" s="54">
        <f t="shared" ref="O131:O154" si="39">IF(N540&lt;&gt;0,+I540-N540,0)</f>
        <v>0</v>
      </c>
      <c r="P131" s="54">
        <f t="shared" ref="P131:P154" si="40">+O540-M540</f>
        <v>0</v>
      </c>
    </row>
    <row r="132" spans="2:16">
      <c r="B132" s="7" t="str">
        <f t="shared" si="25"/>
        <v/>
      </c>
      <c r="C132" s="50">
        <f>IF(D93="","-",+C131+1)</f>
        <v>2054</v>
      </c>
      <c r="D132" s="12">
        <f>IF(F131+SUM(E$99:E131)=D$92,F131,D$92-SUM(E$99:E131))</f>
        <v>263912</v>
      </c>
      <c r="E132" s="56">
        <f t="shared" si="32"/>
        <v>49265</v>
      </c>
      <c r="F132" s="55">
        <f t="shared" si="33"/>
        <v>214647</v>
      </c>
      <c r="G132" s="55">
        <f t="shared" si="34"/>
        <v>239279.5</v>
      </c>
      <c r="H132" s="113">
        <f t="shared" si="35"/>
        <v>81404.713711388336</v>
      </c>
      <c r="I132" s="122">
        <f t="shared" si="36"/>
        <v>81404.713711388336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>
      <c r="B133" s="7" t="str">
        <f t="shared" si="25"/>
        <v/>
      </c>
      <c r="C133" s="50">
        <f>IF(D93="","-",+C132+1)</f>
        <v>2055</v>
      </c>
      <c r="D133" s="12">
        <f>IF(F132+SUM(E$99:E132)=D$92,F132,D$92-SUM(E$99:E132))</f>
        <v>214647</v>
      </c>
      <c r="E133" s="56">
        <f t="shared" si="32"/>
        <v>49265</v>
      </c>
      <c r="F133" s="55">
        <f t="shared" si="33"/>
        <v>165382</v>
      </c>
      <c r="G133" s="55">
        <f t="shared" si="34"/>
        <v>190014.5</v>
      </c>
      <c r="H133" s="113">
        <f t="shared" si="35"/>
        <v>74787.502475191563</v>
      </c>
      <c r="I133" s="122">
        <f t="shared" si="36"/>
        <v>74787.502475191563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>
      <c r="B134" s="7" t="str">
        <f t="shared" si="25"/>
        <v/>
      </c>
      <c r="C134" s="50">
        <f>IF(D93="","-",+C133+1)</f>
        <v>2056</v>
      </c>
      <c r="D134" s="12">
        <f>IF(F133+SUM(E$99:E133)=D$92,F133,D$92-SUM(E$99:E133))</f>
        <v>165382</v>
      </c>
      <c r="E134" s="56">
        <f t="shared" si="32"/>
        <v>49265</v>
      </c>
      <c r="F134" s="55">
        <f t="shared" si="33"/>
        <v>116117</v>
      </c>
      <c r="G134" s="55">
        <f t="shared" si="34"/>
        <v>140749.5</v>
      </c>
      <c r="H134" s="113">
        <f t="shared" si="35"/>
        <v>68170.291238994789</v>
      </c>
      <c r="I134" s="122">
        <f t="shared" si="36"/>
        <v>68170.291238994789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>
      <c r="B135" s="7" t="str">
        <f t="shared" si="25"/>
        <v/>
      </c>
      <c r="C135" s="50">
        <f>IF(D93="","-",+C134+1)</f>
        <v>2057</v>
      </c>
      <c r="D135" s="12">
        <f>IF(F134+SUM(E$99:E134)=D$92,F134,D$92-SUM(E$99:E134))</f>
        <v>116117</v>
      </c>
      <c r="E135" s="56">
        <f t="shared" si="32"/>
        <v>49265</v>
      </c>
      <c r="F135" s="55">
        <f t="shared" si="33"/>
        <v>66852</v>
      </c>
      <c r="G135" s="55">
        <f t="shared" si="34"/>
        <v>91484.5</v>
      </c>
      <c r="H135" s="113">
        <f t="shared" si="35"/>
        <v>61553.080002798008</v>
      </c>
      <c r="I135" s="122">
        <f t="shared" si="36"/>
        <v>61553.080002798008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>
      <c r="B136" s="7" t="str">
        <f t="shared" si="25"/>
        <v/>
      </c>
      <c r="C136" s="50">
        <f>IF(D93="","-",+C135+1)</f>
        <v>2058</v>
      </c>
      <c r="D136" s="12">
        <f>IF(F135+SUM(E$99:E135)=D$92,F135,D$92-SUM(E$99:E135))</f>
        <v>66852</v>
      </c>
      <c r="E136" s="56">
        <f t="shared" si="32"/>
        <v>49265</v>
      </c>
      <c r="F136" s="55">
        <f t="shared" si="33"/>
        <v>17587</v>
      </c>
      <c r="G136" s="55">
        <f t="shared" si="34"/>
        <v>42219.5</v>
      </c>
      <c r="H136" s="113">
        <f t="shared" si="35"/>
        <v>54935.868766601234</v>
      </c>
      <c r="I136" s="122">
        <f t="shared" si="36"/>
        <v>54935.868766601234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>
      <c r="B137" s="7" t="str">
        <f t="shared" si="25"/>
        <v/>
      </c>
      <c r="C137" s="50">
        <f>IF(D93="","-",+C136+1)</f>
        <v>2059</v>
      </c>
      <c r="D137" s="12">
        <f>IF(F136+SUM(E$99:E136)=D$92,F136,D$92-SUM(E$99:E136))</f>
        <v>17587</v>
      </c>
      <c r="E137" s="56">
        <f t="shared" si="32"/>
        <v>17587</v>
      </c>
      <c r="F137" s="55">
        <f t="shared" si="33"/>
        <v>0</v>
      </c>
      <c r="G137" s="55">
        <f t="shared" si="34"/>
        <v>8793.5</v>
      </c>
      <c r="H137" s="113">
        <f t="shared" si="35"/>
        <v>18768.131574251423</v>
      </c>
      <c r="I137" s="122">
        <f t="shared" si="36"/>
        <v>18768.131574251423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>
      <c r="B138" s="7" t="str">
        <f t="shared" si="25"/>
        <v/>
      </c>
      <c r="C138" s="50">
        <f>IF(D93="","-",+C137+1)</f>
        <v>2060</v>
      </c>
      <c r="D138" s="12">
        <f>IF(F137+SUM(E$99:E137)=D$92,F137,D$92-SUM(E$99:E137))</f>
        <v>0</v>
      </c>
      <c r="E138" s="56">
        <f t="shared" si="32"/>
        <v>0</v>
      </c>
      <c r="F138" s="55">
        <f t="shared" si="33"/>
        <v>0</v>
      </c>
      <c r="G138" s="55">
        <f t="shared" si="34"/>
        <v>0</v>
      </c>
      <c r="H138" s="113">
        <f t="shared" si="35"/>
        <v>0</v>
      </c>
      <c r="I138" s="122">
        <f t="shared" si="36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>
      <c r="B139" s="7" t="str">
        <f t="shared" si="25"/>
        <v/>
      </c>
      <c r="C139" s="50">
        <f>IF(D93="","-",+C138+1)</f>
        <v>2061</v>
      </c>
      <c r="D139" s="12">
        <f>IF(F138+SUM(E$99:E138)=D$92,F138,D$92-SUM(E$99:E138))</f>
        <v>0</v>
      </c>
      <c r="E139" s="56">
        <f t="shared" si="32"/>
        <v>0</v>
      </c>
      <c r="F139" s="55">
        <f t="shared" si="33"/>
        <v>0</v>
      </c>
      <c r="G139" s="55">
        <f t="shared" si="34"/>
        <v>0</v>
      </c>
      <c r="H139" s="113">
        <f t="shared" si="35"/>
        <v>0</v>
      </c>
      <c r="I139" s="122">
        <f t="shared" si="36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>
      <c r="B140" s="7" t="str">
        <f t="shared" si="25"/>
        <v/>
      </c>
      <c r="C140" s="50">
        <f>IF(D93="","-",+C139+1)</f>
        <v>2062</v>
      </c>
      <c r="D140" s="12">
        <f>IF(F139+SUM(E$99:E139)=D$92,F139,D$92-SUM(E$99:E139))</f>
        <v>0</v>
      </c>
      <c r="E140" s="56">
        <f t="shared" si="32"/>
        <v>0</v>
      </c>
      <c r="F140" s="55">
        <f t="shared" si="33"/>
        <v>0</v>
      </c>
      <c r="G140" s="55">
        <f t="shared" si="34"/>
        <v>0</v>
      </c>
      <c r="H140" s="113">
        <f t="shared" si="35"/>
        <v>0</v>
      </c>
      <c r="I140" s="122">
        <f t="shared" si="36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>
      <c r="B141" s="7" t="str">
        <f t="shared" si="25"/>
        <v/>
      </c>
      <c r="C141" s="50">
        <f>IF(D93="","-",+C140+1)</f>
        <v>2063</v>
      </c>
      <c r="D141" s="12">
        <f>IF(F140+SUM(E$99:E140)=D$92,F140,D$92-SUM(E$99:E140))</f>
        <v>0</v>
      </c>
      <c r="E141" s="56">
        <f t="shared" si="32"/>
        <v>0</v>
      </c>
      <c r="F141" s="55">
        <f t="shared" si="33"/>
        <v>0</v>
      </c>
      <c r="G141" s="55">
        <f t="shared" si="34"/>
        <v>0</v>
      </c>
      <c r="H141" s="113">
        <f t="shared" si="35"/>
        <v>0</v>
      </c>
      <c r="I141" s="122">
        <f t="shared" si="36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>
      <c r="B142" s="7" t="str">
        <f t="shared" si="25"/>
        <v/>
      </c>
      <c r="C142" s="50">
        <f>IF(D93="","-",+C141+1)</f>
        <v>2064</v>
      </c>
      <c r="D142" s="12">
        <f>IF(F141+SUM(E$99:E141)=D$92,F141,D$92-SUM(E$99:E141))</f>
        <v>0</v>
      </c>
      <c r="E142" s="56">
        <f t="shared" si="32"/>
        <v>0</v>
      </c>
      <c r="F142" s="55">
        <f t="shared" si="33"/>
        <v>0</v>
      </c>
      <c r="G142" s="55">
        <f t="shared" si="34"/>
        <v>0</v>
      </c>
      <c r="H142" s="113">
        <f t="shared" si="35"/>
        <v>0</v>
      </c>
      <c r="I142" s="122">
        <f t="shared" si="36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>
      <c r="B143" s="7" t="str">
        <f t="shared" si="25"/>
        <v/>
      </c>
      <c r="C143" s="50">
        <f>IF(D93="","-",+C142+1)</f>
        <v>2065</v>
      </c>
      <c r="D143" s="12">
        <f>IF(F142+SUM(E$99:E142)=D$92,F142,D$92-SUM(E$99:E142))</f>
        <v>0</v>
      </c>
      <c r="E143" s="56">
        <f t="shared" si="32"/>
        <v>0</v>
      </c>
      <c r="F143" s="55">
        <f t="shared" si="33"/>
        <v>0</v>
      </c>
      <c r="G143" s="55">
        <f t="shared" si="34"/>
        <v>0</v>
      </c>
      <c r="H143" s="113">
        <f t="shared" si="35"/>
        <v>0</v>
      </c>
      <c r="I143" s="122">
        <f t="shared" si="36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>
      <c r="B144" s="7" t="str">
        <f t="shared" si="25"/>
        <v/>
      </c>
      <c r="C144" s="50">
        <f>IF(D93="","-",+C143+1)</f>
        <v>2066</v>
      </c>
      <c r="D144" s="12">
        <f>IF(F143+SUM(E$99:E143)=D$92,F143,D$92-SUM(E$99:E143))</f>
        <v>0</v>
      </c>
      <c r="E144" s="56">
        <f t="shared" si="32"/>
        <v>0</v>
      </c>
      <c r="F144" s="55">
        <f t="shared" si="33"/>
        <v>0</v>
      </c>
      <c r="G144" s="55">
        <f t="shared" si="34"/>
        <v>0</v>
      </c>
      <c r="H144" s="113">
        <f t="shared" si="35"/>
        <v>0</v>
      </c>
      <c r="I144" s="122">
        <f t="shared" si="36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>
      <c r="B145" s="7" t="str">
        <f t="shared" si="25"/>
        <v/>
      </c>
      <c r="C145" s="50">
        <f>IF(D93="","-",+C144+1)</f>
        <v>2067</v>
      </c>
      <c r="D145" s="12">
        <f>IF(F144+SUM(E$99:E144)=D$92,F144,D$92-SUM(E$99:E144))</f>
        <v>0</v>
      </c>
      <c r="E145" s="56">
        <f t="shared" si="32"/>
        <v>0</v>
      </c>
      <c r="F145" s="55">
        <f t="shared" si="33"/>
        <v>0</v>
      </c>
      <c r="G145" s="55">
        <f t="shared" si="34"/>
        <v>0</v>
      </c>
      <c r="H145" s="113">
        <f t="shared" si="35"/>
        <v>0</v>
      </c>
      <c r="I145" s="122">
        <f t="shared" si="36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>
      <c r="B146" s="7" t="str">
        <f t="shared" si="25"/>
        <v/>
      </c>
      <c r="C146" s="50">
        <f>IF(D93="","-",+C145+1)</f>
        <v>2068</v>
      </c>
      <c r="D146" s="12">
        <f>IF(F145+SUM(E$99:E145)=D$92,F145,D$92-SUM(E$99:E145))</f>
        <v>0</v>
      </c>
      <c r="E146" s="56">
        <f t="shared" si="32"/>
        <v>0</v>
      </c>
      <c r="F146" s="55">
        <f t="shared" si="33"/>
        <v>0</v>
      </c>
      <c r="G146" s="55">
        <f t="shared" si="34"/>
        <v>0</v>
      </c>
      <c r="H146" s="113">
        <f t="shared" si="35"/>
        <v>0</v>
      </c>
      <c r="I146" s="122">
        <f t="shared" si="36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>
      <c r="B147" s="7" t="str">
        <f t="shared" si="25"/>
        <v/>
      </c>
      <c r="C147" s="50">
        <f>IF(D93="","-",+C146+1)</f>
        <v>2069</v>
      </c>
      <c r="D147" s="12">
        <f>IF(F146+SUM(E$99:E146)=D$92,F146,D$92-SUM(E$99:E146))</f>
        <v>0</v>
      </c>
      <c r="E147" s="56">
        <f t="shared" si="32"/>
        <v>0</v>
      </c>
      <c r="F147" s="55">
        <f t="shared" si="33"/>
        <v>0</v>
      </c>
      <c r="G147" s="55">
        <f t="shared" si="34"/>
        <v>0</v>
      </c>
      <c r="H147" s="113">
        <f t="shared" si="35"/>
        <v>0</v>
      </c>
      <c r="I147" s="122">
        <f t="shared" si="36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>
      <c r="B148" s="7" t="str">
        <f t="shared" si="25"/>
        <v/>
      </c>
      <c r="C148" s="50">
        <f>IF(D93="","-",+C147+1)</f>
        <v>2070</v>
      </c>
      <c r="D148" s="12">
        <f>IF(F147+SUM(E$99:E147)=D$92,F147,D$92-SUM(E$99:E147))</f>
        <v>0</v>
      </c>
      <c r="E148" s="56">
        <f t="shared" si="32"/>
        <v>0</v>
      </c>
      <c r="F148" s="55">
        <f t="shared" si="33"/>
        <v>0</v>
      </c>
      <c r="G148" s="55">
        <f t="shared" si="34"/>
        <v>0</v>
      </c>
      <c r="H148" s="113">
        <f t="shared" si="35"/>
        <v>0</v>
      </c>
      <c r="I148" s="122">
        <f t="shared" si="36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>
      <c r="B149" s="7" t="str">
        <f t="shared" si="25"/>
        <v/>
      </c>
      <c r="C149" s="50">
        <f>IF(D93="","-",+C148+1)</f>
        <v>2071</v>
      </c>
      <c r="D149" s="12">
        <f>IF(F148+SUM(E$99:E148)=D$92,F148,D$92-SUM(E$99:E148))</f>
        <v>0</v>
      </c>
      <c r="E149" s="56">
        <f t="shared" si="32"/>
        <v>0</v>
      </c>
      <c r="F149" s="55">
        <f t="shared" si="33"/>
        <v>0</v>
      </c>
      <c r="G149" s="55">
        <f t="shared" si="34"/>
        <v>0</v>
      </c>
      <c r="H149" s="113">
        <f t="shared" si="35"/>
        <v>0</v>
      </c>
      <c r="I149" s="122">
        <f t="shared" si="36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>
      <c r="B150" s="7" t="str">
        <f t="shared" si="25"/>
        <v/>
      </c>
      <c r="C150" s="50">
        <f>IF(D93="","-",+C149+1)</f>
        <v>2072</v>
      </c>
      <c r="D150" s="12">
        <f>IF(F149+SUM(E$99:E149)=D$92,F149,D$92-SUM(E$99:E149))</f>
        <v>0</v>
      </c>
      <c r="E150" s="56">
        <f t="shared" si="32"/>
        <v>0</v>
      </c>
      <c r="F150" s="55">
        <f t="shared" si="33"/>
        <v>0</v>
      </c>
      <c r="G150" s="55">
        <f t="shared" si="34"/>
        <v>0</v>
      </c>
      <c r="H150" s="113">
        <f t="shared" si="35"/>
        <v>0</v>
      </c>
      <c r="I150" s="122">
        <f t="shared" si="36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>
      <c r="B151" s="7" t="str">
        <f t="shared" si="25"/>
        <v/>
      </c>
      <c r="C151" s="50">
        <f>IF(D93="","-",+C150+1)</f>
        <v>2073</v>
      </c>
      <c r="D151" s="12">
        <f>IF(F150+SUM(E$99:E150)=D$92,F150,D$92-SUM(E$99:E150))</f>
        <v>0</v>
      </c>
      <c r="E151" s="56">
        <f t="shared" si="32"/>
        <v>0</v>
      </c>
      <c r="F151" s="55">
        <f t="shared" si="33"/>
        <v>0</v>
      </c>
      <c r="G151" s="55">
        <f t="shared" si="34"/>
        <v>0</v>
      </c>
      <c r="H151" s="113">
        <f t="shared" si="35"/>
        <v>0</v>
      </c>
      <c r="I151" s="122">
        <f t="shared" si="36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>
      <c r="B152" s="7" t="str">
        <f t="shared" si="25"/>
        <v/>
      </c>
      <c r="C152" s="50">
        <f>IF(D93="","-",+C151+1)</f>
        <v>2074</v>
      </c>
      <c r="D152" s="12">
        <f>IF(F151+SUM(E$99:E151)=D$92,F151,D$92-SUM(E$99:E151))</f>
        <v>0</v>
      </c>
      <c r="E152" s="56">
        <f t="shared" si="32"/>
        <v>0</v>
      </c>
      <c r="F152" s="55">
        <f t="shared" si="33"/>
        <v>0</v>
      </c>
      <c r="G152" s="55">
        <f t="shared" si="34"/>
        <v>0</v>
      </c>
      <c r="H152" s="113">
        <f t="shared" si="35"/>
        <v>0</v>
      </c>
      <c r="I152" s="122">
        <f t="shared" si="36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>
      <c r="B153" s="7" t="str">
        <f t="shared" si="25"/>
        <v/>
      </c>
      <c r="C153" s="50">
        <f>IF(D93="","-",+C152+1)</f>
        <v>2075</v>
      </c>
      <c r="D153" s="12">
        <f>IF(F152+SUM(E$99:E152)=D$92,F152,D$92-SUM(E$99:E152))</f>
        <v>0</v>
      </c>
      <c r="E153" s="56">
        <f t="shared" si="32"/>
        <v>0</v>
      </c>
      <c r="F153" s="55">
        <f t="shared" si="33"/>
        <v>0</v>
      </c>
      <c r="G153" s="55">
        <f t="shared" si="34"/>
        <v>0</v>
      </c>
      <c r="H153" s="113">
        <f t="shared" si="35"/>
        <v>0</v>
      </c>
      <c r="I153" s="122">
        <f t="shared" si="36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5"/>
        <v/>
      </c>
      <c r="C154" s="58">
        <f>IF(D93="","-",+C153+1)</f>
        <v>2076</v>
      </c>
      <c r="D154" s="82">
        <f>IF(F153+SUM(E$99:E153)=D$92,F153,D$92-SUM(E$99:E153))</f>
        <v>0</v>
      </c>
      <c r="E154" s="60">
        <f t="shared" si="32"/>
        <v>0</v>
      </c>
      <c r="F154" s="59">
        <f t="shared" si="33"/>
        <v>0</v>
      </c>
      <c r="G154" s="59">
        <f t="shared" si="34"/>
        <v>0</v>
      </c>
      <c r="H154" s="123">
        <f t="shared" si="35"/>
        <v>0</v>
      </c>
      <c r="I154" s="124">
        <f t="shared" si="36"/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>
      <c r="C155" s="12" t="s">
        <v>77</v>
      </c>
      <c r="D155" s="267"/>
      <c r="E155" s="267">
        <f>SUM(E99:E154)</f>
        <v>1822797</v>
      </c>
      <c r="F155" s="267"/>
      <c r="G155" s="267"/>
      <c r="H155" s="267">
        <f>SUM(H99:H154)</f>
        <v>6378645.9368089838</v>
      </c>
      <c r="I155" s="267">
        <f>SUM(I99:I154)</f>
        <v>6378645.9368089838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162"/>
  <sheetViews>
    <sheetView topLeftCell="A65" zoomScale="80" zoomScaleNormal="80" workbookViewId="0">
      <selection activeCell="C13" sqref="C13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31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9437.5887773133545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9437.5887773133545</v>
      </c>
      <c r="O6" s="1"/>
      <c r="P6" s="1"/>
    </row>
    <row r="7" spans="1:16" ht="13.5" thickBot="1">
      <c r="C7" s="26" t="s">
        <v>46</v>
      </c>
      <c r="D7" s="440" t="s">
        <v>368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3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369</v>
      </c>
      <c r="E9" s="442" t="s">
        <v>370</v>
      </c>
      <c r="F9" s="32"/>
      <c r="G9" s="452" t="s">
        <v>417</v>
      </c>
      <c r="H9" s="32"/>
      <c r="I9" s="33"/>
      <c r="J9" s="34"/>
      <c r="P9" s="1"/>
    </row>
    <row r="10" spans="1:16" ht="13">
      <c r="C10" s="128" t="s">
        <v>226</v>
      </c>
      <c r="D10" s="336">
        <v>70967.7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>
      <c r="C11" s="37" t="s">
        <v>53</v>
      </c>
      <c r="D11" s="38">
        <v>2022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1867.5710526315788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>
      <c r="B17" s="7"/>
      <c r="C17" s="50">
        <f>IF(D11= "","-",D11)</f>
        <v>2022</v>
      </c>
      <c r="D17" s="411">
        <v>0</v>
      </c>
      <c r="E17" s="412">
        <v>0</v>
      </c>
      <c r="F17" s="411">
        <v>56102</v>
      </c>
      <c r="G17" s="412">
        <v>3024.2132561392209</v>
      </c>
      <c r="H17" s="414">
        <v>3024.2132561392209</v>
      </c>
      <c r="I17" s="52">
        <f>H17-G17</f>
        <v>0</v>
      </c>
      <c r="J17" s="52"/>
      <c r="K17" s="117">
        <f>+G17</f>
        <v>3024.2132561392209</v>
      </c>
      <c r="L17" s="53">
        <f t="shared" ref="L17:L72" si="0">IF(K17&lt;&gt;0,+G17-K17,0)</f>
        <v>0</v>
      </c>
      <c r="M17" s="117">
        <f>+H17</f>
        <v>3024.2132561392209</v>
      </c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2023</v>
      </c>
      <c r="D18" s="411">
        <v>70968.24417723043</v>
      </c>
      <c r="E18" s="412">
        <v>1819.6985686469341</v>
      </c>
      <c r="F18" s="411">
        <v>69148.545608583503</v>
      </c>
      <c r="G18" s="412">
        <v>10181.795067763751</v>
      </c>
      <c r="H18" s="414">
        <v>10181.795067763751</v>
      </c>
      <c r="I18" s="52">
        <f>H18-G18</f>
        <v>0</v>
      </c>
      <c r="J18" s="52"/>
      <c r="K18" s="324">
        <f>+G18</f>
        <v>10181.795067763751</v>
      </c>
      <c r="L18" s="54">
        <f t="shared" ref="L18" si="3">IF(K18&lt;&gt;0,+G18-K18,0)</f>
        <v>0</v>
      </c>
      <c r="M18" s="324">
        <f>+H18</f>
        <v>10181.795067763751</v>
      </c>
      <c r="N18" s="54">
        <f t="shared" ref="N18" si="4">IF(M18&lt;&gt;0,+H18-M18,0)</f>
        <v>0</v>
      </c>
      <c r="O18" s="54">
        <f t="shared" ref="O18" si="5">+N18-L18</f>
        <v>0</v>
      </c>
      <c r="P18" s="1"/>
    </row>
    <row r="19" spans="2:16">
      <c r="B19" s="7" t="str">
        <f>IF(D19=F18,"","IU")</f>
        <v>IU</v>
      </c>
      <c r="C19" s="450">
        <f>IF(D11="","-",+C18+1)</f>
        <v>2024</v>
      </c>
      <c r="D19" s="411">
        <v>69148.00143135307</v>
      </c>
      <c r="E19" s="412">
        <v>1867.5710526315788</v>
      </c>
      <c r="F19" s="411">
        <v>67280.430378721489</v>
      </c>
      <c r="G19" s="412">
        <v>9626.268765265102</v>
      </c>
      <c r="H19" s="414">
        <v>9626.268765265102</v>
      </c>
      <c r="I19" s="52">
        <f t="shared" ref="I19:I20" si="6">H19-G19</f>
        <v>0</v>
      </c>
      <c r="J19" s="52"/>
      <c r="K19" s="324">
        <f>+G19</f>
        <v>9626.268765265102</v>
      </c>
      <c r="L19" s="54">
        <f t="shared" ref="L19" si="7">IF(K19&lt;&gt;0,+G19-K19,0)</f>
        <v>0</v>
      </c>
      <c r="M19" s="324">
        <f>+H19</f>
        <v>9626.268765265102</v>
      </c>
      <c r="N19" s="54">
        <f t="shared" ref="N19" si="8">IF(M19&lt;&gt;0,+H19-M19,0)</f>
        <v>0</v>
      </c>
      <c r="O19" s="54">
        <f t="shared" ref="O19" si="9">+N19-L19</f>
        <v>0</v>
      </c>
      <c r="P19" s="1"/>
    </row>
    <row r="20" spans="2:16" ht="13">
      <c r="B20" s="7" t="str">
        <f t="shared" ref="B20:B72" si="10">IF(D20=F19,"","IU")</f>
        <v/>
      </c>
      <c r="C20" s="449">
        <f>IF(D11="","-",+C19+1)</f>
        <v>2025</v>
      </c>
      <c r="D20" s="411">
        <v>67280.430378721489</v>
      </c>
      <c r="E20" s="412">
        <v>1867.5710526315788</v>
      </c>
      <c r="F20" s="411">
        <v>65412.859326089907</v>
      </c>
      <c r="G20" s="412">
        <v>9404.9807754816138</v>
      </c>
      <c r="H20" s="414">
        <v>9404.9807754816138</v>
      </c>
      <c r="I20" s="52">
        <f t="shared" si="6"/>
        <v>0</v>
      </c>
      <c r="J20" s="52"/>
      <c r="K20" s="324">
        <f>+G20</f>
        <v>9404.9807754816138</v>
      </c>
      <c r="L20" s="54">
        <f t="shared" ref="L20" si="11">IF(K20&lt;&gt;0,+G20-K20,0)</f>
        <v>0</v>
      </c>
      <c r="M20" s="324">
        <f>+H20</f>
        <v>9404.9807754816138</v>
      </c>
      <c r="N20" s="54">
        <f t="shared" ref="N20" si="12">IF(M20&lt;&gt;0,+H20-M20,0)</f>
        <v>0</v>
      </c>
      <c r="O20" s="54">
        <f t="shared" ref="O20" si="13">+N20-L20</f>
        <v>0</v>
      </c>
      <c r="P20" s="1"/>
    </row>
    <row r="21" spans="2:16">
      <c r="B21" s="7" t="str">
        <f t="shared" si="10"/>
        <v/>
      </c>
      <c r="C21" s="50">
        <f>IF(D11="","-",+C20+1)</f>
        <v>2026</v>
      </c>
      <c r="D21" s="55">
        <f>IF(F20+SUM(E$17:E20)=D$10,F20,D$10-SUM(E$17:E20))</f>
        <v>65412.859326089907</v>
      </c>
      <c r="E21" s="354">
        <f t="shared" ref="E21:E71" si="14">IF(+I$14&lt;F20,I$14,D21)</f>
        <v>1867.5710526315788</v>
      </c>
      <c r="F21" s="55">
        <f t="shared" ref="F21:F71" si="15">+D21-E21</f>
        <v>63545.288273458325</v>
      </c>
      <c r="G21" s="355">
        <f t="shared" ref="G21:G71" si="16">(D21+F21)/2*I$12+E21</f>
        <v>9437.5887773133545</v>
      </c>
      <c r="H21" s="337">
        <f t="shared" ref="H21:H71" si="17">+(D21+F21)/2*I$13+E21</f>
        <v>9437.5887773133545</v>
      </c>
      <c r="I21" s="52">
        <f t="shared" ref="I21:I71" si="18">H21-G21</f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>
      <c r="B22" s="7" t="str">
        <f t="shared" si="10"/>
        <v/>
      </c>
      <c r="C22" s="50">
        <f>IF(D11="","-",+C21+1)</f>
        <v>2027</v>
      </c>
      <c r="D22" s="55">
        <f>IF(F21+SUM(E$17:E21)=D$10,F21,D$10-SUM(E$17:E21))</f>
        <v>63545.288273458325</v>
      </c>
      <c r="E22" s="354">
        <f t="shared" si="14"/>
        <v>1867.5710526315788</v>
      </c>
      <c r="F22" s="55">
        <f t="shared" si="15"/>
        <v>61677.717220826744</v>
      </c>
      <c r="G22" s="355">
        <f t="shared" si="16"/>
        <v>9218.3308826602024</v>
      </c>
      <c r="H22" s="337">
        <f t="shared" si="17"/>
        <v>9218.3308826602024</v>
      </c>
      <c r="I22" s="52">
        <f t="shared" si="18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>
      <c r="B23" s="7" t="str">
        <f t="shared" si="10"/>
        <v/>
      </c>
      <c r="C23" s="50">
        <f>IF(D11="","-",+C22+1)</f>
        <v>2028</v>
      </c>
      <c r="D23" s="55">
        <f>IF(F22+SUM(E$17:E22)=D$10,F22,D$10-SUM(E$17:E22))</f>
        <v>61677.717220826744</v>
      </c>
      <c r="E23" s="354">
        <f t="shared" si="14"/>
        <v>1867.5710526315788</v>
      </c>
      <c r="F23" s="55">
        <f t="shared" si="15"/>
        <v>59810.146168195162</v>
      </c>
      <c r="G23" s="355">
        <f t="shared" si="16"/>
        <v>8999.0729880070503</v>
      </c>
      <c r="H23" s="337">
        <f t="shared" si="17"/>
        <v>8999.0729880070503</v>
      </c>
      <c r="I23" s="52">
        <f t="shared" si="18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>
      <c r="B24" s="7" t="str">
        <f t="shared" si="10"/>
        <v/>
      </c>
      <c r="C24" s="50">
        <f>IF(D11="","-",+C23+1)</f>
        <v>2029</v>
      </c>
      <c r="D24" s="55">
        <f>IF(F23+SUM(E$17:E23)=D$10,F23,D$10-SUM(E$17:E23))</f>
        <v>59810.146168195162</v>
      </c>
      <c r="E24" s="354">
        <f t="shared" si="14"/>
        <v>1867.5710526315788</v>
      </c>
      <c r="F24" s="55">
        <f t="shared" si="15"/>
        <v>57942.575115563581</v>
      </c>
      <c r="G24" s="355">
        <f t="shared" si="16"/>
        <v>8779.8150933539</v>
      </c>
      <c r="H24" s="337">
        <f t="shared" si="17"/>
        <v>8779.8150933539</v>
      </c>
      <c r="I24" s="52">
        <f t="shared" si="18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>
      <c r="B25" s="7" t="str">
        <f t="shared" si="10"/>
        <v/>
      </c>
      <c r="C25" s="50">
        <f>IF(D11="","-",+C24+1)</f>
        <v>2030</v>
      </c>
      <c r="D25" s="55">
        <f>IF(F24+SUM(E$17:E24)=D$10,F24,D$10-SUM(E$17:E24))</f>
        <v>57942.575115563581</v>
      </c>
      <c r="E25" s="354">
        <f t="shared" si="14"/>
        <v>1867.5710526315788</v>
      </c>
      <c r="F25" s="55">
        <f t="shared" si="15"/>
        <v>56075.004062931999</v>
      </c>
      <c r="G25" s="355">
        <f t="shared" si="16"/>
        <v>8560.5571987007461</v>
      </c>
      <c r="H25" s="337">
        <f t="shared" si="17"/>
        <v>8560.5571987007461</v>
      </c>
      <c r="I25" s="52">
        <f t="shared" si="18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>
      <c r="B26" s="7" t="str">
        <f t="shared" si="10"/>
        <v/>
      </c>
      <c r="C26" s="50">
        <f>IF(D11="","-",+C25+1)</f>
        <v>2031</v>
      </c>
      <c r="D26" s="55">
        <f>IF(F25+SUM(E$17:E25)=D$10,F25,D$10-SUM(E$17:E25))</f>
        <v>56075.004062931999</v>
      </c>
      <c r="E26" s="354">
        <f t="shared" si="14"/>
        <v>1867.5710526315788</v>
      </c>
      <c r="F26" s="55">
        <f t="shared" si="15"/>
        <v>54207.433010300418</v>
      </c>
      <c r="G26" s="355">
        <f t="shared" si="16"/>
        <v>8341.2993040475958</v>
      </c>
      <c r="H26" s="337">
        <f t="shared" si="17"/>
        <v>8341.2993040475958</v>
      </c>
      <c r="I26" s="52">
        <f t="shared" si="18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>
      <c r="B27" s="7" t="str">
        <f t="shared" si="10"/>
        <v/>
      </c>
      <c r="C27" s="50">
        <f>IF(D11="","-",+C26+1)</f>
        <v>2032</v>
      </c>
      <c r="D27" s="55">
        <f>IF(F26+SUM(E$17:E26)=D$10,F26,D$10-SUM(E$17:E26))</f>
        <v>54207.433010300418</v>
      </c>
      <c r="E27" s="354">
        <f t="shared" si="14"/>
        <v>1867.5710526315788</v>
      </c>
      <c r="F27" s="55">
        <f t="shared" si="15"/>
        <v>52339.861957668836</v>
      </c>
      <c r="G27" s="355">
        <f t="shared" si="16"/>
        <v>8122.0414093944437</v>
      </c>
      <c r="H27" s="337">
        <f t="shared" si="17"/>
        <v>8122.0414093944437</v>
      </c>
      <c r="I27" s="52">
        <f t="shared" si="18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10"/>
        <v/>
      </c>
      <c r="C28" s="50">
        <f>IF(D11="","-",+C27+1)</f>
        <v>2033</v>
      </c>
      <c r="D28" s="55">
        <f>IF(F27+SUM(E$17:E27)=D$10,F27,D$10-SUM(E$17:E27))</f>
        <v>52339.861957668836</v>
      </c>
      <c r="E28" s="354">
        <f t="shared" si="14"/>
        <v>1867.5710526315788</v>
      </c>
      <c r="F28" s="55">
        <f t="shared" si="15"/>
        <v>50472.290905037255</v>
      </c>
      <c r="G28" s="355">
        <f t="shared" si="16"/>
        <v>7902.7835147412916</v>
      </c>
      <c r="H28" s="337">
        <f t="shared" si="17"/>
        <v>7902.7835147412916</v>
      </c>
      <c r="I28" s="52">
        <f t="shared" si="18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10"/>
        <v/>
      </c>
      <c r="C29" s="50">
        <f>IF(D11="","-",+C28+1)</f>
        <v>2034</v>
      </c>
      <c r="D29" s="55">
        <f>IF(F28+SUM(E$17:E28)=D$10,F28,D$10-SUM(E$17:E28))</f>
        <v>50472.290905037255</v>
      </c>
      <c r="E29" s="354">
        <f t="shared" si="14"/>
        <v>1867.5710526315788</v>
      </c>
      <c r="F29" s="55">
        <f t="shared" si="15"/>
        <v>48604.719852405673</v>
      </c>
      <c r="G29" s="355">
        <f t="shared" si="16"/>
        <v>7683.5256200881404</v>
      </c>
      <c r="H29" s="337">
        <f t="shared" si="17"/>
        <v>7683.5256200881404</v>
      </c>
      <c r="I29" s="52">
        <f t="shared" si="18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10"/>
        <v/>
      </c>
      <c r="C30" s="50">
        <f>IF(D11="","-",+C29+1)</f>
        <v>2035</v>
      </c>
      <c r="D30" s="55">
        <f>IF(F29+SUM(E$17:E29)=D$10,F29,D$10-SUM(E$17:E29))</f>
        <v>48604.719852405673</v>
      </c>
      <c r="E30" s="354">
        <f t="shared" si="14"/>
        <v>1867.5710526315788</v>
      </c>
      <c r="F30" s="55">
        <f t="shared" si="15"/>
        <v>46737.148799774091</v>
      </c>
      <c r="G30" s="355">
        <f t="shared" si="16"/>
        <v>7464.2677254349883</v>
      </c>
      <c r="H30" s="337">
        <f t="shared" si="17"/>
        <v>7464.2677254349883</v>
      </c>
      <c r="I30" s="52">
        <f t="shared" si="18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>
      <c r="B31" s="7" t="str">
        <f t="shared" si="10"/>
        <v/>
      </c>
      <c r="C31" s="50">
        <f>IF(D11="","-",+C30+1)</f>
        <v>2036</v>
      </c>
      <c r="D31" s="55">
        <f>IF(F30+SUM(E$17:E30)=D$10,F30,D$10-SUM(E$17:E30))</f>
        <v>46737.148799774091</v>
      </c>
      <c r="E31" s="354">
        <f t="shared" si="14"/>
        <v>1867.5710526315788</v>
      </c>
      <c r="F31" s="55">
        <f t="shared" si="15"/>
        <v>44869.57774714251</v>
      </c>
      <c r="G31" s="355">
        <f t="shared" si="16"/>
        <v>7245.0098307818362</v>
      </c>
      <c r="H31" s="337">
        <f t="shared" si="17"/>
        <v>7245.0098307818362</v>
      </c>
      <c r="I31" s="52">
        <f t="shared" si="18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>
      <c r="B32" s="7" t="str">
        <f t="shared" si="10"/>
        <v/>
      </c>
      <c r="C32" s="50">
        <f>IF(D11="","-",+C31+1)</f>
        <v>2037</v>
      </c>
      <c r="D32" s="55">
        <f>IF(F31+SUM(E$17:E31)=D$10,F31,D$10-SUM(E$17:E31))</f>
        <v>44869.57774714251</v>
      </c>
      <c r="E32" s="354">
        <f t="shared" si="14"/>
        <v>1867.5710526315788</v>
      </c>
      <c r="F32" s="55">
        <f t="shared" si="15"/>
        <v>43002.006694510928</v>
      </c>
      <c r="G32" s="355">
        <f t="shared" si="16"/>
        <v>7025.751936128685</v>
      </c>
      <c r="H32" s="337">
        <f t="shared" si="17"/>
        <v>7025.751936128685</v>
      </c>
      <c r="I32" s="52">
        <f t="shared" si="18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>
      <c r="B33" s="7" t="str">
        <f t="shared" si="10"/>
        <v/>
      </c>
      <c r="C33" s="50">
        <f>IF(D11="","-",+C32+1)</f>
        <v>2038</v>
      </c>
      <c r="D33" s="55">
        <f>IF(F32+SUM(E$17:E32)=D$10,F32,D$10-SUM(E$17:E32))</f>
        <v>43002.006694510928</v>
      </c>
      <c r="E33" s="354">
        <f t="shared" si="14"/>
        <v>1867.5710526315788</v>
      </c>
      <c r="F33" s="55">
        <f t="shared" si="15"/>
        <v>41134.435641879347</v>
      </c>
      <c r="G33" s="355">
        <f t="shared" si="16"/>
        <v>6806.4940414755329</v>
      </c>
      <c r="H33" s="337">
        <f t="shared" si="17"/>
        <v>6806.4940414755329</v>
      </c>
      <c r="I33" s="52">
        <f t="shared" si="18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>
      <c r="B34" s="7" t="str">
        <f t="shared" si="10"/>
        <v/>
      </c>
      <c r="C34" s="50">
        <f>IF(D11="","-",+C33+1)</f>
        <v>2039</v>
      </c>
      <c r="D34" s="55">
        <f>IF(F33+SUM(E$17:E33)=D$10,F33,D$10-SUM(E$17:E33))</f>
        <v>41134.435641879347</v>
      </c>
      <c r="E34" s="354">
        <f t="shared" si="14"/>
        <v>1867.5710526315788</v>
      </c>
      <c r="F34" s="55">
        <f t="shared" si="15"/>
        <v>39266.864589247765</v>
      </c>
      <c r="G34" s="355">
        <f t="shared" si="16"/>
        <v>6587.2361468223808</v>
      </c>
      <c r="H34" s="337">
        <f t="shared" si="17"/>
        <v>6587.2361468223808</v>
      </c>
      <c r="I34" s="52">
        <f t="shared" si="18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10"/>
        <v/>
      </c>
      <c r="C35" s="50">
        <f>IF(D11="","-",+C34+1)</f>
        <v>2040</v>
      </c>
      <c r="D35" s="55">
        <f>IF(F34+SUM(E$17:E34)=D$10,F34,D$10-SUM(E$17:E34))</f>
        <v>39266.864589247765</v>
      </c>
      <c r="E35" s="354">
        <f t="shared" si="14"/>
        <v>1867.5710526315788</v>
      </c>
      <c r="F35" s="55">
        <f t="shared" si="15"/>
        <v>37399.293536616184</v>
      </c>
      <c r="G35" s="355">
        <f t="shared" si="16"/>
        <v>6367.9782521692296</v>
      </c>
      <c r="H35" s="337">
        <f t="shared" si="17"/>
        <v>6367.9782521692296</v>
      </c>
      <c r="I35" s="52">
        <f t="shared" si="18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10"/>
        <v/>
      </c>
      <c r="C36" s="50">
        <f>IF(D11="","-",+C35+1)</f>
        <v>2041</v>
      </c>
      <c r="D36" s="55">
        <f>IF(F35+SUM(E$17:E35)=D$10,F35,D$10-SUM(E$17:E35))</f>
        <v>37399.293536616184</v>
      </c>
      <c r="E36" s="354">
        <f t="shared" si="14"/>
        <v>1867.5710526315788</v>
      </c>
      <c r="F36" s="55">
        <f t="shared" si="15"/>
        <v>35531.722483984602</v>
      </c>
      <c r="G36" s="355">
        <f t="shared" si="16"/>
        <v>6148.7203575160775</v>
      </c>
      <c r="H36" s="337">
        <f t="shared" si="17"/>
        <v>6148.7203575160775</v>
      </c>
      <c r="I36" s="52">
        <f t="shared" si="18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10"/>
        <v/>
      </c>
      <c r="C37" s="50">
        <f>IF(D11="","-",+C36+1)</f>
        <v>2042</v>
      </c>
      <c r="D37" s="55">
        <f>IF(F36+SUM(E$17:E36)=D$10,F36,D$10-SUM(E$17:E36))</f>
        <v>35531.722483984602</v>
      </c>
      <c r="E37" s="354">
        <f t="shared" si="14"/>
        <v>1867.5710526315788</v>
      </c>
      <c r="F37" s="55">
        <f t="shared" si="15"/>
        <v>33664.151431353021</v>
      </c>
      <c r="G37" s="355">
        <f t="shared" si="16"/>
        <v>5929.4624628629253</v>
      </c>
      <c r="H37" s="337">
        <f t="shared" si="17"/>
        <v>5929.4624628629253</v>
      </c>
      <c r="I37" s="52">
        <f t="shared" si="18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10"/>
        <v/>
      </c>
      <c r="C38" s="50">
        <f>IF(D11="","-",+C37+1)</f>
        <v>2043</v>
      </c>
      <c r="D38" s="55">
        <f>IF(F37+SUM(E$17:E37)=D$10,F37,D$10-SUM(E$17:E37))</f>
        <v>33664.151431353021</v>
      </c>
      <c r="E38" s="354">
        <f t="shared" si="14"/>
        <v>1867.5710526315788</v>
      </c>
      <c r="F38" s="55">
        <f t="shared" si="15"/>
        <v>31796.580378721443</v>
      </c>
      <c r="G38" s="355">
        <f t="shared" si="16"/>
        <v>5710.2045682097742</v>
      </c>
      <c r="H38" s="337">
        <f t="shared" si="17"/>
        <v>5710.2045682097742</v>
      </c>
      <c r="I38" s="52">
        <f t="shared" si="18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10"/>
        <v/>
      </c>
      <c r="C39" s="50">
        <f>IF(D11="","-",+C38+1)</f>
        <v>2044</v>
      </c>
      <c r="D39" s="55">
        <f>IF(F38+SUM(E$17:E38)=D$10,F38,D$10-SUM(E$17:E38))</f>
        <v>31796.580378721443</v>
      </c>
      <c r="E39" s="354">
        <f t="shared" si="14"/>
        <v>1867.5710526315788</v>
      </c>
      <c r="F39" s="55">
        <f t="shared" si="15"/>
        <v>29929.009326089865</v>
      </c>
      <c r="G39" s="355">
        <f t="shared" si="16"/>
        <v>5490.946673556623</v>
      </c>
      <c r="H39" s="337">
        <f t="shared" si="17"/>
        <v>5490.946673556623</v>
      </c>
      <c r="I39" s="52">
        <f t="shared" si="18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10"/>
        <v/>
      </c>
      <c r="C40" s="50">
        <f>IF(D11="","-",+C39+1)</f>
        <v>2045</v>
      </c>
      <c r="D40" s="55">
        <f>IF(F39+SUM(E$17:E39)=D$10,F39,D$10-SUM(E$17:E39))</f>
        <v>29929.009326089865</v>
      </c>
      <c r="E40" s="354">
        <f t="shared" si="14"/>
        <v>1867.5710526315788</v>
      </c>
      <c r="F40" s="55">
        <f t="shared" si="15"/>
        <v>28061.438273458287</v>
      </c>
      <c r="G40" s="355">
        <f t="shared" si="16"/>
        <v>5271.6887789034708</v>
      </c>
      <c r="H40" s="337">
        <f t="shared" si="17"/>
        <v>5271.6887789034708</v>
      </c>
      <c r="I40" s="52">
        <f t="shared" si="18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10"/>
        <v/>
      </c>
      <c r="C41" s="50">
        <f>IF(D11="","-",+C40+1)</f>
        <v>2046</v>
      </c>
      <c r="D41" s="55">
        <f>IF(F40+SUM(E$17:E40)=D$10,F40,D$10-SUM(E$17:E40))</f>
        <v>28061.438273458287</v>
      </c>
      <c r="E41" s="354">
        <f t="shared" si="14"/>
        <v>1867.5710526315788</v>
      </c>
      <c r="F41" s="55">
        <f t="shared" si="15"/>
        <v>26193.867220826709</v>
      </c>
      <c r="G41" s="355">
        <f t="shared" si="16"/>
        <v>5052.4308842503197</v>
      </c>
      <c r="H41" s="337">
        <f t="shared" si="17"/>
        <v>5052.4308842503197</v>
      </c>
      <c r="I41" s="52">
        <f t="shared" si="18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10"/>
        <v/>
      </c>
      <c r="C42" s="50">
        <f>IF(D11="","-",+C41+1)</f>
        <v>2047</v>
      </c>
      <c r="D42" s="55">
        <f>IF(F41+SUM(E$17:E41)=D$10,F41,D$10-SUM(E$17:E41))</f>
        <v>26193.867220826709</v>
      </c>
      <c r="E42" s="354">
        <f t="shared" si="14"/>
        <v>1867.5710526315788</v>
      </c>
      <c r="F42" s="55">
        <f t="shared" si="15"/>
        <v>24326.296168195131</v>
      </c>
      <c r="G42" s="355">
        <f t="shared" si="16"/>
        <v>4833.1729895971685</v>
      </c>
      <c r="H42" s="337">
        <f t="shared" si="17"/>
        <v>4833.1729895971685</v>
      </c>
      <c r="I42" s="52">
        <f t="shared" si="18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10"/>
        <v/>
      </c>
      <c r="C43" s="50">
        <f>IF(D11="","-",+C42+1)</f>
        <v>2048</v>
      </c>
      <c r="D43" s="55">
        <f>IF(F42+SUM(E$17:E42)=D$10,F42,D$10-SUM(E$17:E42))</f>
        <v>24326.296168195131</v>
      </c>
      <c r="E43" s="354">
        <f t="shared" si="14"/>
        <v>1867.5710526315788</v>
      </c>
      <c r="F43" s="55">
        <f t="shared" si="15"/>
        <v>22458.725115563553</v>
      </c>
      <c r="G43" s="355">
        <f t="shared" si="16"/>
        <v>4613.9150949440173</v>
      </c>
      <c r="H43" s="337">
        <f t="shared" si="17"/>
        <v>4613.9150949440173</v>
      </c>
      <c r="I43" s="52">
        <f t="shared" si="18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10"/>
        <v/>
      </c>
      <c r="C44" s="50">
        <f>IF(D11="","-",+C43+1)</f>
        <v>2049</v>
      </c>
      <c r="D44" s="55">
        <f>IF(F43+SUM(E$17:E43)=D$10,F43,D$10-SUM(E$17:E43))</f>
        <v>22458.725115563553</v>
      </c>
      <c r="E44" s="354">
        <f t="shared" si="14"/>
        <v>1867.5710526315788</v>
      </c>
      <c r="F44" s="55">
        <f t="shared" si="15"/>
        <v>20591.154062931975</v>
      </c>
      <c r="G44" s="355">
        <f t="shared" si="16"/>
        <v>4394.6572002908651</v>
      </c>
      <c r="H44" s="337">
        <f t="shared" si="17"/>
        <v>4394.6572002908651</v>
      </c>
      <c r="I44" s="52">
        <f t="shared" si="18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10"/>
        <v/>
      </c>
      <c r="C45" s="50">
        <f>IF(D11="","-",+C44+1)</f>
        <v>2050</v>
      </c>
      <c r="D45" s="55">
        <f>IF(F44+SUM(E$17:E44)=D$10,F44,D$10-SUM(E$17:E44))</f>
        <v>20591.154062931975</v>
      </c>
      <c r="E45" s="354">
        <f t="shared" si="14"/>
        <v>1867.5710526315788</v>
      </c>
      <c r="F45" s="55">
        <f t="shared" si="15"/>
        <v>18723.583010300397</v>
      </c>
      <c r="G45" s="355">
        <f t="shared" si="16"/>
        <v>4175.3993056377149</v>
      </c>
      <c r="H45" s="337">
        <f t="shared" si="17"/>
        <v>4175.3993056377149</v>
      </c>
      <c r="I45" s="52">
        <f t="shared" si="18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10"/>
        <v/>
      </c>
      <c r="C46" s="50">
        <f>IF(D11="","-",+C45+1)</f>
        <v>2051</v>
      </c>
      <c r="D46" s="55">
        <f>IF(F45+SUM(E$17:E45)=D$10,F45,D$10-SUM(E$17:E45))</f>
        <v>18723.583010300397</v>
      </c>
      <c r="E46" s="354">
        <f t="shared" si="14"/>
        <v>1867.5710526315788</v>
      </c>
      <c r="F46" s="55">
        <f t="shared" si="15"/>
        <v>16856.011957668819</v>
      </c>
      <c r="G46" s="355">
        <f t="shared" si="16"/>
        <v>3956.1414109845628</v>
      </c>
      <c r="H46" s="337">
        <f t="shared" si="17"/>
        <v>3956.1414109845628</v>
      </c>
      <c r="I46" s="52">
        <f t="shared" si="18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10"/>
        <v/>
      </c>
      <c r="C47" s="50">
        <f>IF(D11="","-",+C46+1)</f>
        <v>2052</v>
      </c>
      <c r="D47" s="55">
        <f>IF(F46+SUM(E$17:E46)=D$10,F46,D$10-SUM(E$17:E46))</f>
        <v>16856.011957668819</v>
      </c>
      <c r="E47" s="354">
        <f t="shared" si="14"/>
        <v>1867.5710526315788</v>
      </c>
      <c r="F47" s="55">
        <f t="shared" si="15"/>
        <v>14988.440905037241</v>
      </c>
      <c r="G47" s="355">
        <f t="shared" si="16"/>
        <v>3736.8835163314116</v>
      </c>
      <c r="H47" s="337">
        <f t="shared" si="17"/>
        <v>3736.8835163314116</v>
      </c>
      <c r="I47" s="52">
        <f t="shared" si="18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10"/>
        <v/>
      </c>
      <c r="C48" s="50">
        <f>IF(D11="","-",+C47+1)</f>
        <v>2053</v>
      </c>
      <c r="D48" s="55">
        <f>IF(F47+SUM(E$17:E47)=D$10,F47,D$10-SUM(E$17:E47))</f>
        <v>14988.440905037241</v>
      </c>
      <c r="E48" s="354">
        <f t="shared" si="14"/>
        <v>1867.5710526315788</v>
      </c>
      <c r="F48" s="55">
        <f t="shared" si="15"/>
        <v>13120.869852405664</v>
      </c>
      <c r="G48" s="355">
        <f t="shared" si="16"/>
        <v>3517.6256216782604</v>
      </c>
      <c r="H48" s="337">
        <f t="shared" si="17"/>
        <v>3517.6256216782604</v>
      </c>
      <c r="I48" s="52">
        <f t="shared" si="18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22">
      <c r="B49" s="7" t="str">
        <f t="shared" si="10"/>
        <v/>
      </c>
      <c r="C49" s="50">
        <f>IF(D11="","-",+C48+1)</f>
        <v>2054</v>
      </c>
      <c r="D49" s="55">
        <f>IF(F48+SUM(E$17:E48)=D$10,F48,D$10-SUM(E$17:E48))</f>
        <v>13120.869852405664</v>
      </c>
      <c r="E49" s="354">
        <f t="shared" si="14"/>
        <v>1867.5710526315788</v>
      </c>
      <c r="F49" s="55">
        <f t="shared" si="15"/>
        <v>11253.298799774086</v>
      </c>
      <c r="G49" s="355">
        <f t="shared" si="16"/>
        <v>3298.3677270251092</v>
      </c>
      <c r="H49" s="337">
        <f t="shared" si="17"/>
        <v>3298.3677270251092</v>
      </c>
      <c r="I49" s="52">
        <f t="shared" si="18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22">
      <c r="B50" s="7" t="str">
        <f t="shared" si="10"/>
        <v/>
      </c>
      <c r="C50" s="50">
        <f>IF(D11="","-",+C49+1)</f>
        <v>2055</v>
      </c>
      <c r="D50" s="55">
        <f>IF(F49+SUM(E$17:E49)=D$10,F49,D$10-SUM(E$17:E49))</f>
        <v>11253.298799774086</v>
      </c>
      <c r="E50" s="354">
        <f t="shared" si="14"/>
        <v>1867.5710526315788</v>
      </c>
      <c r="F50" s="55">
        <f t="shared" si="15"/>
        <v>9385.7277471425077</v>
      </c>
      <c r="G50" s="355">
        <f t="shared" si="16"/>
        <v>3079.1098323719575</v>
      </c>
      <c r="H50" s="337">
        <f t="shared" si="17"/>
        <v>3079.1098323719575</v>
      </c>
      <c r="I50" s="52">
        <f t="shared" si="18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22">
      <c r="B51" s="7" t="str">
        <f t="shared" si="10"/>
        <v/>
      </c>
      <c r="C51" s="50">
        <f>IF(D11="","-",+C50+1)</f>
        <v>2056</v>
      </c>
      <c r="D51" s="55">
        <f>IF(F50+SUM(E$17:E50)=D$10,F50,D$10-SUM(E$17:E50))</f>
        <v>9385.7277471425077</v>
      </c>
      <c r="E51" s="354">
        <f t="shared" si="14"/>
        <v>1867.5710526315788</v>
      </c>
      <c r="F51" s="55">
        <f t="shared" si="15"/>
        <v>7518.1566945109289</v>
      </c>
      <c r="G51" s="355">
        <f t="shared" si="16"/>
        <v>2859.8519377188063</v>
      </c>
      <c r="H51" s="337">
        <f t="shared" si="17"/>
        <v>2859.8519377188063</v>
      </c>
      <c r="I51" s="52">
        <f t="shared" si="18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  <c r="V51" t="s">
        <v>455</v>
      </c>
    </row>
    <row r="52" spans="2:22">
      <c r="B52" s="7" t="str">
        <f t="shared" si="10"/>
        <v/>
      </c>
      <c r="C52" s="50">
        <f>IF(D11="","-",+C51+1)</f>
        <v>2057</v>
      </c>
      <c r="D52" s="55">
        <f>IF(F51+SUM(E$17:E51)=D$10,F51,D$10-SUM(E$17:E51))</f>
        <v>7518.1566945109289</v>
      </c>
      <c r="E52" s="354">
        <f t="shared" si="14"/>
        <v>1867.5710526315788</v>
      </c>
      <c r="F52" s="55">
        <f t="shared" si="15"/>
        <v>5650.5856418793501</v>
      </c>
      <c r="G52" s="355">
        <f t="shared" si="16"/>
        <v>2640.5940430656547</v>
      </c>
      <c r="H52" s="337">
        <f t="shared" si="17"/>
        <v>2640.5940430656547</v>
      </c>
      <c r="I52" s="52">
        <f t="shared" si="18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22">
      <c r="B53" s="7" t="str">
        <f t="shared" si="10"/>
        <v/>
      </c>
      <c r="C53" s="50">
        <f>IF(D11="","-",+C52+1)</f>
        <v>2058</v>
      </c>
      <c r="D53" s="55">
        <f>IF(F52+SUM(E$17:E52)=D$10,F52,D$10-SUM(E$17:E52))</f>
        <v>5650.5856418793501</v>
      </c>
      <c r="E53" s="354">
        <f t="shared" si="14"/>
        <v>1867.5710526315788</v>
      </c>
      <c r="F53" s="55">
        <f t="shared" si="15"/>
        <v>3783.0145892477713</v>
      </c>
      <c r="G53" s="355">
        <f t="shared" si="16"/>
        <v>2421.3361484125035</v>
      </c>
      <c r="H53" s="337">
        <f t="shared" si="17"/>
        <v>2421.3361484125035</v>
      </c>
      <c r="I53" s="52">
        <f t="shared" si="18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22">
      <c r="B54" s="7" t="str">
        <f t="shared" si="10"/>
        <v/>
      </c>
      <c r="C54" s="50">
        <f>IF(D11="","-",+C53+1)</f>
        <v>2059</v>
      </c>
      <c r="D54" s="55">
        <f>IF(F53+SUM(E$17:E53)=D$10,F53,D$10-SUM(E$17:E53))</f>
        <v>3783.0145892477713</v>
      </c>
      <c r="E54" s="354">
        <f t="shared" si="14"/>
        <v>1867.5710526315788</v>
      </c>
      <c r="F54" s="55">
        <f t="shared" si="15"/>
        <v>1915.4435366161924</v>
      </c>
      <c r="G54" s="355">
        <f t="shared" si="16"/>
        <v>2202.0782537593518</v>
      </c>
      <c r="H54" s="337">
        <f t="shared" si="17"/>
        <v>2202.0782537593518</v>
      </c>
      <c r="I54" s="52">
        <f t="shared" si="18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22">
      <c r="B55" s="7" t="str">
        <f t="shared" si="10"/>
        <v/>
      </c>
      <c r="C55" s="50">
        <f>IF(D11="","-",+C54+1)</f>
        <v>2060</v>
      </c>
      <c r="D55" s="55">
        <f>IF(F54+SUM(E$17:E54)=D$10,F54,D$10-SUM(E$17:E54))</f>
        <v>1915.4435366161924</v>
      </c>
      <c r="E55" s="354">
        <f t="shared" si="14"/>
        <v>1867.5710526315788</v>
      </c>
      <c r="F55" s="55">
        <f t="shared" si="15"/>
        <v>47.872483984613609</v>
      </c>
      <c r="G55" s="355">
        <f t="shared" si="16"/>
        <v>1982.8203591062002</v>
      </c>
      <c r="H55" s="337">
        <f t="shared" si="17"/>
        <v>1982.8203591062002</v>
      </c>
      <c r="I55" s="52">
        <f t="shared" si="18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22">
      <c r="B56" s="7" t="str">
        <f t="shared" si="10"/>
        <v/>
      </c>
      <c r="C56" s="50">
        <f>IF(D11="","-",+C55+1)</f>
        <v>2061</v>
      </c>
      <c r="D56" s="55">
        <f>IF(F55+SUM(E$17:E55)=D$10,F55,D$10-SUM(E$17:E55))</f>
        <v>47.872483984613609</v>
      </c>
      <c r="E56" s="354">
        <f t="shared" si="14"/>
        <v>47.872483984613609</v>
      </c>
      <c r="F56" s="55">
        <f t="shared" si="15"/>
        <v>0</v>
      </c>
      <c r="G56" s="355">
        <f t="shared" si="16"/>
        <v>50.68266355863642</v>
      </c>
      <c r="H56" s="337">
        <f t="shared" si="17"/>
        <v>50.68266355863642</v>
      </c>
      <c r="I56" s="52">
        <f t="shared" si="18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22">
      <c r="B57" s="7" t="str">
        <f t="shared" si="10"/>
        <v/>
      </c>
      <c r="C57" s="50">
        <f>IF(D11="","-",+C56+1)</f>
        <v>2062</v>
      </c>
      <c r="D57" s="55">
        <f>IF(F56+SUM(E$17:E56)=D$10,F56,D$10-SUM(E$17:E56))</f>
        <v>0</v>
      </c>
      <c r="E57" s="354">
        <f t="shared" si="14"/>
        <v>0</v>
      </c>
      <c r="F57" s="55">
        <f t="shared" si="15"/>
        <v>0</v>
      </c>
      <c r="G57" s="355">
        <f t="shared" si="16"/>
        <v>0</v>
      </c>
      <c r="H57" s="337">
        <f t="shared" si="17"/>
        <v>0</v>
      </c>
      <c r="I57" s="52">
        <f t="shared" si="18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22">
      <c r="B58" s="7" t="str">
        <f t="shared" si="10"/>
        <v/>
      </c>
      <c r="C58" s="50">
        <f>IF(D11="","-",+C57+1)</f>
        <v>2063</v>
      </c>
      <c r="D58" s="55">
        <f>IF(F57+SUM(E$17:E57)=D$10,F57,D$10-SUM(E$17:E57))</f>
        <v>0</v>
      </c>
      <c r="E58" s="354">
        <f t="shared" si="14"/>
        <v>0</v>
      </c>
      <c r="F58" s="55">
        <f t="shared" si="15"/>
        <v>0</v>
      </c>
      <c r="G58" s="355">
        <f t="shared" si="16"/>
        <v>0</v>
      </c>
      <c r="H58" s="337">
        <f t="shared" si="17"/>
        <v>0</v>
      </c>
      <c r="I58" s="52">
        <f t="shared" si="18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22">
      <c r="B59" s="7" t="str">
        <f t="shared" si="10"/>
        <v/>
      </c>
      <c r="C59" s="50">
        <f>IF(D11="","-",+C58+1)</f>
        <v>2064</v>
      </c>
      <c r="D59" s="55">
        <f>IF(F58+SUM(E$17:E58)=D$10,F58,D$10-SUM(E$17:E58))</f>
        <v>0</v>
      </c>
      <c r="E59" s="354">
        <f t="shared" si="14"/>
        <v>0</v>
      </c>
      <c r="F59" s="55">
        <f t="shared" si="15"/>
        <v>0</v>
      </c>
      <c r="G59" s="355">
        <f t="shared" si="16"/>
        <v>0</v>
      </c>
      <c r="H59" s="337">
        <f t="shared" si="17"/>
        <v>0</v>
      </c>
      <c r="I59" s="52">
        <f t="shared" si="18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22">
      <c r="B60" s="7" t="str">
        <f t="shared" si="10"/>
        <v/>
      </c>
      <c r="C60" s="50">
        <f>IF(D11="","-",+C59+1)</f>
        <v>2065</v>
      </c>
      <c r="D60" s="55">
        <f>IF(F59+SUM(E$17:E59)=D$10,F59,D$10-SUM(E$17:E59))</f>
        <v>0</v>
      </c>
      <c r="E60" s="354">
        <f t="shared" si="14"/>
        <v>0</v>
      </c>
      <c r="F60" s="55">
        <f t="shared" si="15"/>
        <v>0</v>
      </c>
      <c r="G60" s="355">
        <f t="shared" si="16"/>
        <v>0</v>
      </c>
      <c r="H60" s="337">
        <f t="shared" si="17"/>
        <v>0</v>
      </c>
      <c r="I60" s="52">
        <f t="shared" si="18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22">
      <c r="B61" s="7" t="str">
        <f t="shared" si="10"/>
        <v/>
      </c>
      <c r="C61" s="50">
        <f>IF(D11="","-",+C60+1)</f>
        <v>2066</v>
      </c>
      <c r="D61" s="55">
        <f>IF(F60+SUM(E$17:E60)=D$10,F60,D$10-SUM(E$17:E60))</f>
        <v>0</v>
      </c>
      <c r="E61" s="354">
        <f t="shared" si="14"/>
        <v>0</v>
      </c>
      <c r="F61" s="55">
        <f t="shared" si="15"/>
        <v>0</v>
      </c>
      <c r="G61" s="355">
        <f t="shared" si="16"/>
        <v>0</v>
      </c>
      <c r="H61" s="337">
        <f t="shared" si="17"/>
        <v>0</v>
      </c>
      <c r="I61" s="52">
        <f t="shared" si="18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22">
      <c r="B62" s="7" t="str">
        <f t="shared" si="10"/>
        <v/>
      </c>
      <c r="C62" s="50">
        <f>IF(D11="","-",+C61+1)</f>
        <v>2067</v>
      </c>
      <c r="D62" s="55">
        <f>IF(F61+SUM(E$17:E61)=D$10,F61,D$10-SUM(E$17:E61))</f>
        <v>0</v>
      </c>
      <c r="E62" s="354">
        <f t="shared" si="14"/>
        <v>0</v>
      </c>
      <c r="F62" s="55">
        <f t="shared" si="15"/>
        <v>0</v>
      </c>
      <c r="G62" s="355">
        <f t="shared" si="16"/>
        <v>0</v>
      </c>
      <c r="H62" s="337">
        <f t="shared" si="17"/>
        <v>0</v>
      </c>
      <c r="I62" s="52">
        <f t="shared" si="18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22">
      <c r="B63" s="7" t="str">
        <f t="shared" si="10"/>
        <v/>
      </c>
      <c r="C63" s="50">
        <f>IF(D11="","-",+C62+1)</f>
        <v>2068</v>
      </c>
      <c r="D63" s="55">
        <f>IF(F62+SUM(E$17:E62)=D$10,F62,D$10-SUM(E$17:E62))</f>
        <v>0</v>
      </c>
      <c r="E63" s="354">
        <f t="shared" si="14"/>
        <v>0</v>
      </c>
      <c r="F63" s="55">
        <f t="shared" si="15"/>
        <v>0</v>
      </c>
      <c r="G63" s="355">
        <f t="shared" si="16"/>
        <v>0</v>
      </c>
      <c r="H63" s="337">
        <f t="shared" si="17"/>
        <v>0</v>
      </c>
      <c r="I63" s="52">
        <f t="shared" si="18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22">
      <c r="B64" s="7" t="str">
        <f t="shared" si="10"/>
        <v/>
      </c>
      <c r="C64" s="50">
        <f>IF(D11="","-",+C63+1)</f>
        <v>2069</v>
      </c>
      <c r="D64" s="55">
        <f>IF(F63+SUM(E$17:E63)=D$10,F63,D$10-SUM(E$17:E63))</f>
        <v>0</v>
      </c>
      <c r="E64" s="354">
        <f t="shared" si="14"/>
        <v>0</v>
      </c>
      <c r="F64" s="55">
        <f t="shared" si="15"/>
        <v>0</v>
      </c>
      <c r="G64" s="355">
        <f t="shared" si="16"/>
        <v>0</v>
      </c>
      <c r="H64" s="337">
        <f t="shared" si="17"/>
        <v>0</v>
      </c>
      <c r="I64" s="52">
        <f t="shared" si="18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>
      <c r="B65" s="7" t="str">
        <f t="shared" si="10"/>
        <v/>
      </c>
      <c r="C65" s="50">
        <f>IF(D11="","-",+C64+1)</f>
        <v>2070</v>
      </c>
      <c r="D65" s="55">
        <f>IF(F64+SUM(E$17:E64)=D$10,F64,D$10-SUM(E$17:E64))</f>
        <v>0</v>
      </c>
      <c r="E65" s="354">
        <f t="shared" si="14"/>
        <v>0</v>
      </c>
      <c r="F65" s="55">
        <f t="shared" si="15"/>
        <v>0</v>
      </c>
      <c r="G65" s="355">
        <f t="shared" si="16"/>
        <v>0</v>
      </c>
      <c r="H65" s="337">
        <f t="shared" si="17"/>
        <v>0</v>
      </c>
      <c r="I65" s="52">
        <f t="shared" si="18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>
      <c r="B66" s="7" t="str">
        <f t="shared" si="10"/>
        <v/>
      </c>
      <c r="C66" s="50">
        <f>IF(D11="","-",+C65+1)</f>
        <v>2071</v>
      </c>
      <c r="D66" s="55">
        <f>IF(F65+SUM(E$17:E65)=D$10,F65,D$10-SUM(E$17:E65))</f>
        <v>0</v>
      </c>
      <c r="E66" s="354">
        <f t="shared" si="14"/>
        <v>0</v>
      </c>
      <c r="F66" s="55">
        <f t="shared" si="15"/>
        <v>0</v>
      </c>
      <c r="G66" s="355">
        <f t="shared" si="16"/>
        <v>0</v>
      </c>
      <c r="H66" s="337">
        <f t="shared" si="17"/>
        <v>0</v>
      </c>
      <c r="I66" s="52">
        <f t="shared" si="18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>
      <c r="B67" s="7" t="str">
        <f t="shared" si="10"/>
        <v/>
      </c>
      <c r="C67" s="50">
        <f>IF(D11="","-",+C66+1)</f>
        <v>2072</v>
      </c>
      <c r="D67" s="55">
        <f>IF(F66+SUM(E$17:E66)=D$10,F66,D$10-SUM(E$17:E66))</f>
        <v>0</v>
      </c>
      <c r="E67" s="354">
        <f t="shared" si="14"/>
        <v>0</v>
      </c>
      <c r="F67" s="55">
        <f t="shared" si="15"/>
        <v>0</v>
      </c>
      <c r="G67" s="355">
        <f t="shared" si="16"/>
        <v>0</v>
      </c>
      <c r="H67" s="337">
        <f t="shared" si="17"/>
        <v>0</v>
      </c>
      <c r="I67" s="52">
        <f t="shared" si="18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>
      <c r="B68" s="7" t="str">
        <f t="shared" si="10"/>
        <v/>
      </c>
      <c r="C68" s="50">
        <f>IF(D11="","-",+C67+1)</f>
        <v>2073</v>
      </c>
      <c r="D68" s="55">
        <f>IF(F67+SUM(E$17:E67)=D$10,F67,D$10-SUM(E$17:E67))</f>
        <v>0</v>
      </c>
      <c r="E68" s="354">
        <f t="shared" si="14"/>
        <v>0</v>
      </c>
      <c r="F68" s="55">
        <f t="shared" si="15"/>
        <v>0</v>
      </c>
      <c r="G68" s="355">
        <f t="shared" si="16"/>
        <v>0</v>
      </c>
      <c r="H68" s="337">
        <f t="shared" si="17"/>
        <v>0</v>
      </c>
      <c r="I68" s="52">
        <f t="shared" si="18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>
      <c r="B69" s="7" t="str">
        <f t="shared" si="10"/>
        <v/>
      </c>
      <c r="C69" s="50">
        <f>IF(D11="","-",+C68+1)</f>
        <v>2074</v>
      </c>
      <c r="D69" s="55">
        <f>IF(F68+SUM(E$17:E68)=D$10,F68,D$10-SUM(E$17:E68))</f>
        <v>0</v>
      </c>
      <c r="E69" s="354">
        <f t="shared" si="14"/>
        <v>0</v>
      </c>
      <c r="F69" s="55">
        <f t="shared" si="15"/>
        <v>0</v>
      </c>
      <c r="G69" s="355">
        <f t="shared" si="16"/>
        <v>0</v>
      </c>
      <c r="H69" s="337">
        <f t="shared" si="17"/>
        <v>0</v>
      </c>
      <c r="I69" s="52">
        <f t="shared" si="18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>
      <c r="B70" s="7" t="str">
        <f t="shared" si="10"/>
        <v/>
      </c>
      <c r="C70" s="50">
        <f>IF(D11="","-",+C69+1)</f>
        <v>2075</v>
      </c>
      <c r="D70" s="55">
        <f>IF(F69+SUM(E$17:E69)=D$10,F69,D$10-SUM(E$17:E69))</f>
        <v>0</v>
      </c>
      <c r="E70" s="354">
        <f t="shared" si="14"/>
        <v>0</v>
      </c>
      <c r="F70" s="55">
        <f t="shared" si="15"/>
        <v>0</v>
      </c>
      <c r="G70" s="355">
        <f t="shared" si="16"/>
        <v>0</v>
      </c>
      <c r="H70" s="337">
        <f t="shared" si="17"/>
        <v>0</v>
      </c>
      <c r="I70" s="52">
        <f t="shared" si="18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>
      <c r="B71" s="7" t="str">
        <f t="shared" si="10"/>
        <v/>
      </c>
      <c r="C71" s="50">
        <f>IF(D11="","-",+C70+1)</f>
        <v>2076</v>
      </c>
      <c r="D71" s="55">
        <f>IF(F70+SUM(E$17:E70)=D$10,F70,D$10-SUM(E$17:E70))</f>
        <v>0</v>
      </c>
      <c r="E71" s="354">
        <f t="shared" si="14"/>
        <v>0</v>
      </c>
      <c r="F71" s="55">
        <f t="shared" si="15"/>
        <v>0</v>
      </c>
      <c r="G71" s="355">
        <f t="shared" si="16"/>
        <v>0</v>
      </c>
      <c r="H71" s="337">
        <f t="shared" si="17"/>
        <v>0</v>
      </c>
      <c r="I71" s="52">
        <f t="shared" si="18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10"/>
        <v/>
      </c>
      <c r="C72" s="58">
        <f>IF(D11="","-",+C71+1)</f>
        <v>2077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5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>
      <c r="C73" s="12" t="s">
        <v>77</v>
      </c>
      <c r="D73" s="267"/>
      <c r="E73" s="267">
        <f>SUM(E17:E72)</f>
        <v>70967.7</v>
      </c>
      <c r="F73" s="267"/>
      <c r="G73" s="267">
        <f>SUM(G17:G72)</f>
        <v>232145.10041555043</v>
      </c>
      <c r="H73" s="267">
        <f>SUM(H17:H72)</f>
        <v>232145.10041555043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31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9626.268765265102</v>
      </c>
      <c r="N87" s="364">
        <f>IF(J92&lt;D11,0,VLOOKUP(J92,C17:O72,11))</f>
        <v>9626.268765265102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9067.8146409539222</v>
      </c>
      <c r="N88" s="367">
        <f>IF(J92&lt;D11,0,VLOOKUP(J92,C99:P154,7))</f>
        <v>9067.8146409539222</v>
      </c>
      <c r="O88" s="69">
        <f>+N88-M88</f>
        <v>0</v>
      </c>
      <c r="P88" s="1"/>
    </row>
    <row r="89" spans="1:16" ht="13.5" thickBot="1">
      <c r="C89" s="26" t="s">
        <v>92</v>
      </c>
      <c r="D89" s="64" t="str">
        <f>D7</f>
        <v>Pryor Junction 138/115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-558.45412431117984</v>
      </c>
      <c r="N89" s="369">
        <f>+N88-N87</f>
        <v>-558.45412431117984</v>
      </c>
      <c r="O89" s="370">
        <f>+O88-O87</f>
        <v>0</v>
      </c>
      <c r="P89" s="1"/>
    </row>
    <row r="90" spans="1:16" ht="13.5" thickBot="1">
      <c r="C90" s="30"/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/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70968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>
      <c r="C93" s="37" t="s">
        <v>53</v>
      </c>
      <c r="D93" s="86">
        <f>+D11</f>
        <v>2022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6">
        <f>+D12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1918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3" t="s">
        <v>102</v>
      </c>
      <c r="M97" s="343" t="s">
        <v>99</v>
      </c>
      <c r="N97" s="343" t="s">
        <v>102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3" thickBot="1">
      <c r="C99" s="50">
        <f>IF(D93= "","-",D93)</f>
        <v>2022</v>
      </c>
      <c r="D99" s="115">
        <v>0</v>
      </c>
      <c r="E99" s="115">
        <v>0</v>
      </c>
      <c r="F99" s="115">
        <v>70968</v>
      </c>
      <c r="G99" s="115">
        <v>35484</v>
      </c>
      <c r="H99" s="115">
        <v>3825.5742462245234</v>
      </c>
      <c r="I99" s="115">
        <v>3825.5742462245234</v>
      </c>
      <c r="J99" s="54">
        <f>+I99-H99</f>
        <v>0</v>
      </c>
      <c r="K99" s="54"/>
      <c r="L99" s="53">
        <f>+H99</f>
        <v>3825.5742462245234</v>
      </c>
      <c r="M99" s="53">
        <f t="shared" ref="M99:M130" si="19">IF(L99&lt;&gt;0,+H99-L99,0)</f>
        <v>0</v>
      </c>
      <c r="N99" s="53">
        <f>+I99</f>
        <v>3825.5742462245234</v>
      </c>
      <c r="O99" s="53">
        <f t="shared" ref="O99:O130" si="20">IF(N99&lt;&gt;0,+I99-N99,0)</f>
        <v>0</v>
      </c>
      <c r="P99" s="53">
        <f t="shared" ref="P99:P130" si="21">+O99-M99</f>
        <v>0</v>
      </c>
    </row>
    <row r="100" spans="1:16">
      <c r="B100" s="7" t="str">
        <f>IF(D100=F99,"","IU")</f>
        <v>IU</v>
      </c>
      <c r="C100" s="50">
        <f>IF(D93="","-",+C99+1)</f>
        <v>2023</v>
      </c>
      <c r="D100" s="115">
        <v>70967.7</v>
      </c>
      <c r="E100" s="115">
        <v>1690</v>
      </c>
      <c r="F100" s="115">
        <v>69277.7</v>
      </c>
      <c r="G100" s="115">
        <v>70122.7</v>
      </c>
      <c r="H100" s="115">
        <v>9250.0156463681778</v>
      </c>
      <c r="I100" s="115">
        <v>9250.0156463681778</v>
      </c>
      <c r="J100" s="54">
        <f t="shared" ref="J100:J130" si="22">+I100-H100</f>
        <v>0</v>
      </c>
      <c r="K100" s="54"/>
      <c r="L100" s="53">
        <f>+H100</f>
        <v>9250.0156463681778</v>
      </c>
      <c r="M100" s="53">
        <f t="shared" ref="M100" si="23">IF(L100&lt;&gt;0,+H100-L100,0)</f>
        <v>0</v>
      </c>
      <c r="N100" s="53">
        <f>+I100</f>
        <v>9250.0156463681778</v>
      </c>
      <c r="O100" s="53">
        <f t="shared" ref="O100" si="24">IF(N100&lt;&gt;0,+I100-N100,0)</f>
        <v>0</v>
      </c>
      <c r="P100" s="53">
        <f t="shared" ref="P100" si="25">+O100-M100</f>
        <v>0</v>
      </c>
    </row>
    <row r="101" spans="1:16">
      <c r="B101" s="7" t="str">
        <f t="shared" ref="B101:B154" si="26">IF(D101=F100,"","IU")</f>
        <v/>
      </c>
      <c r="C101" s="50">
        <f>IF(D93="","-",+C100+1)</f>
        <v>2024</v>
      </c>
      <c r="D101" s="115">
        <v>69277.7</v>
      </c>
      <c r="E101" s="115">
        <v>1690</v>
      </c>
      <c r="F101" s="115">
        <v>67587.7</v>
      </c>
      <c r="G101" s="115">
        <v>68432.7</v>
      </c>
      <c r="H101" s="115">
        <v>9067.8146409539222</v>
      </c>
      <c r="I101" s="115">
        <v>9067.8146409539222</v>
      </c>
      <c r="J101" s="54">
        <f t="shared" si="22"/>
        <v>0</v>
      </c>
      <c r="K101" s="54"/>
      <c r="L101" s="54">
        <f>+H101</f>
        <v>9067.8146409539222</v>
      </c>
      <c r="M101" s="54">
        <f t="shared" ref="M101" si="27">IF(L101&lt;&gt;0,+H101-L101,0)</f>
        <v>0</v>
      </c>
      <c r="N101" s="54">
        <f>+I101</f>
        <v>9067.8146409539222</v>
      </c>
      <c r="O101" s="54">
        <f t="shared" ref="O101" si="28">IF(N101&lt;&gt;0,+I101-N101,0)</f>
        <v>0</v>
      </c>
      <c r="P101" s="54">
        <f t="shared" ref="P101" si="29">+O101-M101</f>
        <v>0</v>
      </c>
    </row>
    <row r="102" spans="1:16">
      <c r="B102" s="7" t="str">
        <f t="shared" si="26"/>
        <v>IU</v>
      </c>
      <c r="C102" s="50">
        <f>IF(D93="","-",+C101+1)</f>
        <v>2025</v>
      </c>
      <c r="D102" s="12">
        <f>IF(F101+SUM(E$99:E101)=D$92,F101,D$92-SUM(E$99:E101))</f>
        <v>67588</v>
      </c>
      <c r="E102" s="56">
        <f t="shared" ref="E102:E154" si="30">IF(+J$96&lt;F101,J$96,D102)</f>
        <v>1918</v>
      </c>
      <c r="F102" s="55">
        <f t="shared" ref="F102:F154" si="31">+D102-E102</f>
        <v>65670</v>
      </c>
      <c r="G102" s="55">
        <f t="shared" ref="G102:G154" si="32">+(F102+D102)/2</f>
        <v>66629</v>
      </c>
      <c r="H102" s="113">
        <f t="shared" ref="H102:H154" si="33">+J$94*G102+E102</f>
        <v>10867.521312423729</v>
      </c>
      <c r="I102" s="122">
        <f t="shared" ref="I102:I154" si="34">+J$95*G102+E102</f>
        <v>10867.521312423729</v>
      </c>
      <c r="J102" s="54">
        <f t="shared" si="22"/>
        <v>0</v>
      </c>
      <c r="K102" s="54"/>
      <c r="L102" s="115"/>
      <c r="M102" s="54">
        <f t="shared" si="19"/>
        <v>0</v>
      </c>
      <c r="N102" s="115"/>
      <c r="O102" s="54">
        <f t="shared" si="20"/>
        <v>0</v>
      </c>
      <c r="P102" s="54">
        <f t="shared" si="21"/>
        <v>0</v>
      </c>
    </row>
    <row r="103" spans="1:16">
      <c r="B103" s="7" t="str">
        <f t="shared" si="26"/>
        <v/>
      </c>
      <c r="C103" s="50">
        <f>IF(D93="","-",+C102+1)</f>
        <v>2026</v>
      </c>
      <c r="D103" s="12">
        <f>IF(F102+SUM(E$99:E102)=D$92,F102,D$92-SUM(E$99:E102))</f>
        <v>65670</v>
      </c>
      <c r="E103" s="56">
        <f t="shared" si="30"/>
        <v>1918</v>
      </c>
      <c r="F103" s="55">
        <f t="shared" si="31"/>
        <v>63752</v>
      </c>
      <c r="G103" s="55">
        <f t="shared" si="32"/>
        <v>64711</v>
      </c>
      <c r="H103" s="113">
        <f t="shared" si="33"/>
        <v>10609.898027109095</v>
      </c>
      <c r="I103" s="122">
        <f t="shared" si="34"/>
        <v>10609.898027109095</v>
      </c>
      <c r="J103" s="54">
        <f t="shared" si="22"/>
        <v>0</v>
      </c>
      <c r="K103" s="54"/>
      <c r="L103" s="115"/>
      <c r="M103" s="54">
        <f t="shared" si="19"/>
        <v>0</v>
      </c>
      <c r="N103" s="115"/>
      <c r="O103" s="54">
        <f t="shared" si="20"/>
        <v>0</v>
      </c>
      <c r="P103" s="54">
        <f t="shared" si="21"/>
        <v>0</v>
      </c>
    </row>
    <row r="104" spans="1:16">
      <c r="B104" s="7" t="str">
        <f t="shared" si="26"/>
        <v/>
      </c>
      <c r="C104" s="50">
        <f>IF(D93="","-",+C103+1)</f>
        <v>2027</v>
      </c>
      <c r="D104" s="12">
        <f>IF(F103+SUM(E$99:E103)=D$92,F103,D$92-SUM(E$99:E103))</f>
        <v>63752</v>
      </c>
      <c r="E104" s="56">
        <f t="shared" si="30"/>
        <v>1918</v>
      </c>
      <c r="F104" s="55">
        <f t="shared" si="31"/>
        <v>61834</v>
      </c>
      <c r="G104" s="55">
        <f t="shared" si="32"/>
        <v>62793</v>
      </c>
      <c r="H104" s="113">
        <f t="shared" si="33"/>
        <v>10352.274741794461</v>
      </c>
      <c r="I104" s="122">
        <f t="shared" si="34"/>
        <v>10352.274741794461</v>
      </c>
      <c r="J104" s="54">
        <f t="shared" si="22"/>
        <v>0</v>
      </c>
      <c r="K104" s="54"/>
      <c r="L104" s="115"/>
      <c r="M104" s="54">
        <f t="shared" si="19"/>
        <v>0</v>
      </c>
      <c r="N104" s="115"/>
      <c r="O104" s="54">
        <f t="shared" si="20"/>
        <v>0</v>
      </c>
      <c r="P104" s="54">
        <f t="shared" si="21"/>
        <v>0</v>
      </c>
    </row>
    <row r="105" spans="1:16">
      <c r="B105" s="7" t="str">
        <f t="shared" si="26"/>
        <v/>
      </c>
      <c r="C105" s="50">
        <f>IF(D93="","-",+C104+1)</f>
        <v>2028</v>
      </c>
      <c r="D105" s="12">
        <f>IF(F104+SUM(E$99:E104)=D$92,F104,D$92-SUM(E$99:E104))</f>
        <v>61834</v>
      </c>
      <c r="E105" s="56">
        <f t="shared" si="30"/>
        <v>1918</v>
      </c>
      <c r="F105" s="55">
        <f t="shared" si="31"/>
        <v>59916</v>
      </c>
      <c r="G105" s="55">
        <f t="shared" si="32"/>
        <v>60875</v>
      </c>
      <c r="H105" s="113">
        <f t="shared" si="33"/>
        <v>10094.651456479827</v>
      </c>
      <c r="I105" s="122">
        <f t="shared" si="34"/>
        <v>10094.651456479827</v>
      </c>
      <c r="J105" s="54">
        <f t="shared" si="22"/>
        <v>0</v>
      </c>
      <c r="K105" s="54"/>
      <c r="L105" s="115"/>
      <c r="M105" s="54">
        <f t="shared" si="19"/>
        <v>0</v>
      </c>
      <c r="N105" s="115"/>
      <c r="O105" s="54">
        <f t="shared" si="20"/>
        <v>0</v>
      </c>
      <c r="P105" s="54">
        <f t="shared" si="21"/>
        <v>0</v>
      </c>
    </row>
    <row r="106" spans="1:16">
      <c r="B106" s="7" t="str">
        <f t="shared" si="26"/>
        <v/>
      </c>
      <c r="C106" s="50">
        <f>IF(D93="","-",+C105+1)</f>
        <v>2029</v>
      </c>
      <c r="D106" s="12">
        <f>IF(F105+SUM(E$99:E105)=D$92,F105,D$92-SUM(E$99:E105))</f>
        <v>59916</v>
      </c>
      <c r="E106" s="56">
        <f t="shared" si="30"/>
        <v>1918</v>
      </c>
      <c r="F106" s="55">
        <f t="shared" si="31"/>
        <v>57998</v>
      </c>
      <c r="G106" s="55">
        <f t="shared" si="32"/>
        <v>58957</v>
      </c>
      <c r="H106" s="113">
        <f t="shared" si="33"/>
        <v>9837.0281711651951</v>
      </c>
      <c r="I106" s="122">
        <f t="shared" si="34"/>
        <v>9837.0281711651951</v>
      </c>
      <c r="J106" s="54">
        <f t="shared" si="22"/>
        <v>0</v>
      </c>
      <c r="K106" s="54"/>
      <c r="L106" s="115"/>
      <c r="M106" s="54">
        <f t="shared" si="19"/>
        <v>0</v>
      </c>
      <c r="N106" s="115"/>
      <c r="O106" s="54">
        <f t="shared" si="20"/>
        <v>0</v>
      </c>
      <c r="P106" s="54">
        <f t="shared" si="21"/>
        <v>0</v>
      </c>
    </row>
    <row r="107" spans="1:16">
      <c r="B107" s="7" t="str">
        <f t="shared" si="26"/>
        <v/>
      </c>
      <c r="C107" s="50">
        <f>IF(D93="","-",+C106+1)</f>
        <v>2030</v>
      </c>
      <c r="D107" s="12">
        <f>IF(F106+SUM(E$99:E106)=D$92,F106,D$92-SUM(E$99:E106))</f>
        <v>57998</v>
      </c>
      <c r="E107" s="56">
        <f t="shared" si="30"/>
        <v>1918</v>
      </c>
      <c r="F107" s="55">
        <f t="shared" si="31"/>
        <v>56080</v>
      </c>
      <c r="G107" s="55">
        <f t="shared" si="32"/>
        <v>57039</v>
      </c>
      <c r="H107" s="113">
        <f t="shared" si="33"/>
        <v>9579.4048858505612</v>
      </c>
      <c r="I107" s="122">
        <f t="shared" si="34"/>
        <v>9579.4048858505612</v>
      </c>
      <c r="J107" s="54">
        <f t="shared" si="22"/>
        <v>0</v>
      </c>
      <c r="K107" s="54"/>
      <c r="L107" s="115"/>
      <c r="M107" s="54">
        <f t="shared" si="19"/>
        <v>0</v>
      </c>
      <c r="N107" s="115"/>
      <c r="O107" s="54">
        <f t="shared" si="20"/>
        <v>0</v>
      </c>
      <c r="P107" s="54">
        <f t="shared" si="21"/>
        <v>0</v>
      </c>
    </row>
    <row r="108" spans="1:16">
      <c r="B108" s="7" t="str">
        <f t="shared" si="26"/>
        <v/>
      </c>
      <c r="C108" s="50">
        <f>IF(D93="","-",+C107+1)</f>
        <v>2031</v>
      </c>
      <c r="D108" s="12">
        <f>IF(F107+SUM(E$99:E107)=D$92,F107,D$92-SUM(E$99:E107))</f>
        <v>56080</v>
      </c>
      <c r="E108" s="56">
        <f t="shared" si="30"/>
        <v>1918</v>
      </c>
      <c r="F108" s="55">
        <f t="shared" si="31"/>
        <v>54162</v>
      </c>
      <c r="G108" s="55">
        <f t="shared" si="32"/>
        <v>55121</v>
      </c>
      <c r="H108" s="113">
        <f t="shared" si="33"/>
        <v>9321.7816005359273</v>
      </c>
      <c r="I108" s="122">
        <f t="shared" si="34"/>
        <v>9321.7816005359273</v>
      </c>
      <c r="J108" s="54">
        <f t="shared" si="22"/>
        <v>0</v>
      </c>
      <c r="K108" s="54"/>
      <c r="L108" s="115"/>
      <c r="M108" s="54">
        <f t="shared" si="19"/>
        <v>0</v>
      </c>
      <c r="N108" s="115"/>
      <c r="O108" s="54">
        <f t="shared" si="20"/>
        <v>0</v>
      </c>
      <c r="P108" s="54">
        <f t="shared" si="21"/>
        <v>0</v>
      </c>
    </row>
    <row r="109" spans="1:16">
      <c r="B109" s="7" t="str">
        <f t="shared" si="26"/>
        <v/>
      </c>
      <c r="C109" s="50">
        <f>IF(D93="","-",+C108+1)</f>
        <v>2032</v>
      </c>
      <c r="D109" s="12">
        <f>IF(F108+SUM(E$99:E108)=D$92,F108,D$92-SUM(E$99:E108))</f>
        <v>54162</v>
      </c>
      <c r="E109" s="56">
        <f t="shared" si="30"/>
        <v>1918</v>
      </c>
      <c r="F109" s="55">
        <f t="shared" si="31"/>
        <v>52244</v>
      </c>
      <c r="G109" s="55">
        <f t="shared" si="32"/>
        <v>53203</v>
      </c>
      <c r="H109" s="113">
        <f t="shared" si="33"/>
        <v>9064.1583152212952</v>
      </c>
      <c r="I109" s="122">
        <f t="shared" si="34"/>
        <v>9064.1583152212952</v>
      </c>
      <c r="J109" s="54">
        <f t="shared" si="22"/>
        <v>0</v>
      </c>
      <c r="K109" s="54"/>
      <c r="L109" s="115"/>
      <c r="M109" s="54">
        <f t="shared" si="19"/>
        <v>0</v>
      </c>
      <c r="N109" s="115"/>
      <c r="O109" s="54">
        <f t="shared" si="20"/>
        <v>0</v>
      </c>
      <c r="P109" s="54">
        <f t="shared" si="21"/>
        <v>0</v>
      </c>
    </row>
    <row r="110" spans="1:16">
      <c r="B110" s="7" t="str">
        <f t="shared" si="26"/>
        <v/>
      </c>
      <c r="C110" s="50">
        <f>IF(D93="","-",+C109+1)</f>
        <v>2033</v>
      </c>
      <c r="D110" s="12">
        <f>IF(F109+SUM(E$99:E109)=D$92,F109,D$92-SUM(E$99:E109))</f>
        <v>52244</v>
      </c>
      <c r="E110" s="56">
        <f t="shared" si="30"/>
        <v>1918</v>
      </c>
      <c r="F110" s="55">
        <f t="shared" si="31"/>
        <v>50326</v>
      </c>
      <c r="G110" s="55">
        <f t="shared" si="32"/>
        <v>51285</v>
      </c>
      <c r="H110" s="113">
        <f t="shared" si="33"/>
        <v>8806.5350299066613</v>
      </c>
      <c r="I110" s="122">
        <f t="shared" si="34"/>
        <v>8806.5350299066613</v>
      </c>
      <c r="J110" s="54">
        <f t="shared" si="22"/>
        <v>0</v>
      </c>
      <c r="K110" s="54"/>
      <c r="L110" s="115"/>
      <c r="M110" s="54">
        <f t="shared" si="19"/>
        <v>0</v>
      </c>
      <c r="N110" s="115"/>
      <c r="O110" s="54">
        <f t="shared" si="20"/>
        <v>0</v>
      </c>
      <c r="P110" s="54">
        <f t="shared" si="21"/>
        <v>0</v>
      </c>
    </row>
    <row r="111" spans="1:16">
      <c r="B111" s="7" t="str">
        <f t="shared" si="26"/>
        <v/>
      </c>
      <c r="C111" s="50">
        <f>IF(D93="","-",+C110+1)</f>
        <v>2034</v>
      </c>
      <c r="D111" s="12">
        <f>IF(F110+SUM(E$99:E110)=D$92,F110,D$92-SUM(E$99:E110))</f>
        <v>50326</v>
      </c>
      <c r="E111" s="56">
        <f t="shared" si="30"/>
        <v>1918</v>
      </c>
      <c r="F111" s="55">
        <f t="shared" si="31"/>
        <v>48408</v>
      </c>
      <c r="G111" s="55">
        <f t="shared" si="32"/>
        <v>49367</v>
      </c>
      <c r="H111" s="113">
        <f t="shared" si="33"/>
        <v>8548.9117445920274</v>
      </c>
      <c r="I111" s="122">
        <f t="shared" si="34"/>
        <v>8548.9117445920274</v>
      </c>
      <c r="J111" s="54">
        <f t="shared" si="22"/>
        <v>0</v>
      </c>
      <c r="K111" s="54"/>
      <c r="L111" s="115"/>
      <c r="M111" s="54">
        <f t="shared" si="19"/>
        <v>0</v>
      </c>
      <c r="N111" s="115"/>
      <c r="O111" s="54">
        <f t="shared" si="20"/>
        <v>0</v>
      </c>
      <c r="P111" s="54">
        <f t="shared" si="21"/>
        <v>0</v>
      </c>
    </row>
    <row r="112" spans="1:16">
      <c r="B112" s="7" t="str">
        <f t="shared" si="26"/>
        <v/>
      </c>
      <c r="C112" s="50">
        <f>IF(D93="","-",+C111+1)</f>
        <v>2035</v>
      </c>
      <c r="D112" s="12">
        <f>IF(F111+SUM(E$99:E111)=D$92,F111,D$92-SUM(E$99:E111))</f>
        <v>48408</v>
      </c>
      <c r="E112" s="56">
        <f t="shared" si="30"/>
        <v>1918</v>
      </c>
      <c r="F112" s="55">
        <f t="shared" si="31"/>
        <v>46490</v>
      </c>
      <c r="G112" s="55">
        <f t="shared" si="32"/>
        <v>47449</v>
      </c>
      <c r="H112" s="113">
        <f t="shared" si="33"/>
        <v>8291.2884592773953</v>
      </c>
      <c r="I112" s="122">
        <f t="shared" si="34"/>
        <v>8291.2884592773953</v>
      </c>
      <c r="J112" s="54">
        <f t="shared" si="22"/>
        <v>0</v>
      </c>
      <c r="K112" s="54"/>
      <c r="L112" s="115"/>
      <c r="M112" s="54">
        <f t="shared" si="19"/>
        <v>0</v>
      </c>
      <c r="N112" s="115"/>
      <c r="O112" s="54">
        <f t="shared" si="20"/>
        <v>0</v>
      </c>
      <c r="P112" s="54">
        <f t="shared" si="21"/>
        <v>0</v>
      </c>
    </row>
    <row r="113" spans="2:16">
      <c r="B113" s="7" t="str">
        <f t="shared" si="26"/>
        <v/>
      </c>
      <c r="C113" s="50">
        <f>IF(D93="","-",+C112+1)</f>
        <v>2036</v>
      </c>
      <c r="D113" s="12">
        <f>IF(F112+SUM(E$99:E112)=D$92,F112,D$92-SUM(E$99:E112))</f>
        <v>46490</v>
      </c>
      <c r="E113" s="56">
        <f t="shared" si="30"/>
        <v>1918</v>
      </c>
      <c r="F113" s="55">
        <f t="shared" si="31"/>
        <v>44572</v>
      </c>
      <c r="G113" s="55">
        <f t="shared" si="32"/>
        <v>45531</v>
      </c>
      <c r="H113" s="113">
        <f t="shared" si="33"/>
        <v>8033.6651739627605</v>
      </c>
      <c r="I113" s="122">
        <f t="shared" si="34"/>
        <v>8033.6651739627605</v>
      </c>
      <c r="J113" s="54">
        <f t="shared" si="22"/>
        <v>0</v>
      </c>
      <c r="K113" s="54"/>
      <c r="L113" s="115"/>
      <c r="M113" s="54">
        <f t="shared" si="19"/>
        <v>0</v>
      </c>
      <c r="N113" s="115"/>
      <c r="O113" s="54">
        <f t="shared" si="20"/>
        <v>0</v>
      </c>
      <c r="P113" s="54">
        <f t="shared" si="21"/>
        <v>0</v>
      </c>
    </row>
    <row r="114" spans="2:16">
      <c r="B114" s="7" t="str">
        <f t="shared" si="26"/>
        <v/>
      </c>
      <c r="C114" s="50">
        <f>IF(D93="","-",+C113+1)</f>
        <v>2037</v>
      </c>
      <c r="D114" s="12">
        <f>IF(F113+SUM(E$99:E113)=D$92,F113,D$92-SUM(E$99:E113))</f>
        <v>44572</v>
      </c>
      <c r="E114" s="56">
        <f t="shared" si="30"/>
        <v>1918</v>
      </c>
      <c r="F114" s="55">
        <f t="shared" si="31"/>
        <v>42654</v>
      </c>
      <c r="G114" s="55">
        <f t="shared" si="32"/>
        <v>43613</v>
      </c>
      <c r="H114" s="113">
        <f t="shared" si="33"/>
        <v>7776.0418886481275</v>
      </c>
      <c r="I114" s="122">
        <f t="shared" si="34"/>
        <v>7776.0418886481275</v>
      </c>
      <c r="J114" s="54">
        <f t="shared" si="22"/>
        <v>0</v>
      </c>
      <c r="K114" s="54"/>
      <c r="L114" s="115"/>
      <c r="M114" s="54">
        <f t="shared" si="19"/>
        <v>0</v>
      </c>
      <c r="N114" s="115"/>
      <c r="O114" s="54">
        <f t="shared" si="20"/>
        <v>0</v>
      </c>
      <c r="P114" s="54">
        <f t="shared" si="21"/>
        <v>0</v>
      </c>
    </row>
    <row r="115" spans="2:16">
      <c r="B115" s="7" t="str">
        <f t="shared" si="26"/>
        <v/>
      </c>
      <c r="C115" s="50">
        <f>IF(D93="","-",+C114+1)</f>
        <v>2038</v>
      </c>
      <c r="D115" s="12">
        <f>IF(F114+SUM(E$99:E114)=D$92,F114,D$92-SUM(E$99:E114))</f>
        <v>42654</v>
      </c>
      <c r="E115" s="56">
        <f t="shared" si="30"/>
        <v>1918</v>
      </c>
      <c r="F115" s="55">
        <f t="shared" si="31"/>
        <v>40736</v>
      </c>
      <c r="G115" s="55">
        <f t="shared" si="32"/>
        <v>41695</v>
      </c>
      <c r="H115" s="113">
        <f t="shared" si="33"/>
        <v>7518.4186033334936</v>
      </c>
      <c r="I115" s="122">
        <f t="shared" si="34"/>
        <v>7518.4186033334936</v>
      </c>
      <c r="J115" s="54">
        <f t="shared" si="22"/>
        <v>0</v>
      </c>
      <c r="K115" s="54"/>
      <c r="L115" s="115"/>
      <c r="M115" s="54">
        <f t="shared" si="19"/>
        <v>0</v>
      </c>
      <c r="N115" s="115"/>
      <c r="O115" s="54">
        <f t="shared" si="20"/>
        <v>0</v>
      </c>
      <c r="P115" s="54">
        <f t="shared" si="21"/>
        <v>0</v>
      </c>
    </row>
    <row r="116" spans="2:16">
      <c r="B116" s="7" t="str">
        <f t="shared" si="26"/>
        <v/>
      </c>
      <c r="C116" s="50">
        <f>IF(D93="","-",+C115+1)</f>
        <v>2039</v>
      </c>
      <c r="D116" s="12">
        <f>IF(F115+SUM(E$99:E115)=D$92,F115,D$92-SUM(E$99:E115))</f>
        <v>40736</v>
      </c>
      <c r="E116" s="56">
        <f t="shared" si="30"/>
        <v>1918</v>
      </c>
      <c r="F116" s="55">
        <f t="shared" si="31"/>
        <v>38818</v>
      </c>
      <c r="G116" s="55">
        <f t="shared" si="32"/>
        <v>39777</v>
      </c>
      <c r="H116" s="113">
        <f t="shared" si="33"/>
        <v>7260.7953180188606</v>
      </c>
      <c r="I116" s="122">
        <f t="shared" si="34"/>
        <v>7260.7953180188606</v>
      </c>
      <c r="J116" s="54">
        <f t="shared" si="22"/>
        <v>0</v>
      </c>
      <c r="K116" s="54"/>
      <c r="L116" s="115"/>
      <c r="M116" s="54">
        <f t="shared" si="19"/>
        <v>0</v>
      </c>
      <c r="N116" s="115"/>
      <c r="O116" s="54">
        <f t="shared" si="20"/>
        <v>0</v>
      </c>
      <c r="P116" s="54">
        <f t="shared" si="21"/>
        <v>0</v>
      </c>
    </row>
    <row r="117" spans="2:16">
      <c r="B117" s="7" t="str">
        <f t="shared" si="26"/>
        <v/>
      </c>
      <c r="C117" s="50">
        <f>IF(D93="","-",+C116+1)</f>
        <v>2040</v>
      </c>
      <c r="D117" s="12">
        <f>IF(F116+SUM(E$99:E116)=D$92,F116,D$92-SUM(E$99:E116))</f>
        <v>38818</v>
      </c>
      <c r="E117" s="56">
        <f t="shared" si="30"/>
        <v>1918</v>
      </c>
      <c r="F117" s="55">
        <f t="shared" si="31"/>
        <v>36900</v>
      </c>
      <c r="G117" s="55">
        <f t="shared" si="32"/>
        <v>37859</v>
      </c>
      <c r="H117" s="113">
        <f t="shared" si="33"/>
        <v>7003.1720327042267</v>
      </c>
      <c r="I117" s="122">
        <f t="shared" si="34"/>
        <v>7003.1720327042267</v>
      </c>
      <c r="J117" s="54">
        <f t="shared" si="22"/>
        <v>0</v>
      </c>
      <c r="K117" s="54"/>
      <c r="L117" s="115"/>
      <c r="M117" s="54">
        <f t="shared" si="19"/>
        <v>0</v>
      </c>
      <c r="N117" s="115"/>
      <c r="O117" s="54">
        <f t="shared" si="20"/>
        <v>0</v>
      </c>
      <c r="P117" s="54">
        <f t="shared" si="21"/>
        <v>0</v>
      </c>
    </row>
    <row r="118" spans="2:16">
      <c r="B118" s="7" t="str">
        <f t="shared" si="26"/>
        <v/>
      </c>
      <c r="C118" s="50">
        <f>IF(D93="","-",+C117+1)</f>
        <v>2041</v>
      </c>
      <c r="D118" s="12">
        <f>IF(F117+SUM(E$99:E117)=D$92,F117,D$92-SUM(E$99:E117))</f>
        <v>36900</v>
      </c>
      <c r="E118" s="56">
        <f t="shared" si="30"/>
        <v>1918</v>
      </c>
      <c r="F118" s="55">
        <f t="shared" si="31"/>
        <v>34982</v>
      </c>
      <c r="G118" s="55">
        <f t="shared" si="32"/>
        <v>35941</v>
      </c>
      <c r="H118" s="113">
        <f t="shared" si="33"/>
        <v>6745.5487473895937</v>
      </c>
      <c r="I118" s="122">
        <f t="shared" si="34"/>
        <v>6745.5487473895937</v>
      </c>
      <c r="J118" s="54">
        <f t="shared" si="22"/>
        <v>0</v>
      </c>
      <c r="K118" s="54"/>
      <c r="L118" s="115"/>
      <c r="M118" s="54">
        <f t="shared" si="19"/>
        <v>0</v>
      </c>
      <c r="N118" s="115"/>
      <c r="O118" s="54">
        <f t="shared" si="20"/>
        <v>0</v>
      </c>
      <c r="P118" s="54">
        <f t="shared" si="21"/>
        <v>0</v>
      </c>
    </row>
    <row r="119" spans="2:16">
      <c r="B119" s="7" t="str">
        <f t="shared" si="26"/>
        <v/>
      </c>
      <c r="C119" s="50">
        <f>IF(D93="","-",+C118+1)</f>
        <v>2042</v>
      </c>
      <c r="D119" s="12">
        <f>IF(F118+SUM(E$99:E118)=D$92,F118,D$92-SUM(E$99:E118))</f>
        <v>34982</v>
      </c>
      <c r="E119" s="56">
        <f t="shared" si="30"/>
        <v>1918</v>
      </c>
      <c r="F119" s="55">
        <f t="shared" si="31"/>
        <v>33064</v>
      </c>
      <c r="G119" s="55">
        <f t="shared" si="32"/>
        <v>34023</v>
      </c>
      <c r="H119" s="113">
        <f t="shared" si="33"/>
        <v>6487.9254620749598</v>
      </c>
      <c r="I119" s="122">
        <f t="shared" si="34"/>
        <v>6487.9254620749598</v>
      </c>
      <c r="J119" s="54">
        <f t="shared" si="22"/>
        <v>0</v>
      </c>
      <c r="K119" s="54"/>
      <c r="L119" s="115"/>
      <c r="M119" s="54">
        <f t="shared" si="19"/>
        <v>0</v>
      </c>
      <c r="N119" s="115"/>
      <c r="O119" s="54">
        <f t="shared" si="20"/>
        <v>0</v>
      </c>
      <c r="P119" s="54">
        <f t="shared" si="21"/>
        <v>0</v>
      </c>
    </row>
    <row r="120" spans="2:16">
      <c r="B120" s="7" t="str">
        <f t="shared" si="26"/>
        <v/>
      </c>
      <c r="C120" s="50">
        <f>IF(D93="","-",+C119+1)</f>
        <v>2043</v>
      </c>
      <c r="D120" s="12">
        <f>IF(F119+SUM(E$99:E119)=D$92,F119,D$92-SUM(E$99:E119))</f>
        <v>33064</v>
      </c>
      <c r="E120" s="56">
        <f t="shared" si="30"/>
        <v>1918</v>
      </c>
      <c r="F120" s="55">
        <f t="shared" si="31"/>
        <v>31146</v>
      </c>
      <c r="G120" s="55">
        <f t="shared" si="32"/>
        <v>32105</v>
      </c>
      <c r="H120" s="113">
        <f t="shared" si="33"/>
        <v>6230.3021767603268</v>
      </c>
      <c r="I120" s="122">
        <f t="shared" si="34"/>
        <v>6230.3021767603268</v>
      </c>
      <c r="J120" s="54">
        <f t="shared" si="22"/>
        <v>0</v>
      </c>
      <c r="K120" s="54"/>
      <c r="L120" s="115"/>
      <c r="M120" s="54">
        <f t="shared" si="19"/>
        <v>0</v>
      </c>
      <c r="N120" s="115"/>
      <c r="O120" s="54">
        <f t="shared" si="20"/>
        <v>0</v>
      </c>
      <c r="P120" s="54">
        <f t="shared" si="21"/>
        <v>0</v>
      </c>
    </row>
    <row r="121" spans="2:16">
      <c r="B121" s="7" t="str">
        <f t="shared" si="26"/>
        <v/>
      </c>
      <c r="C121" s="50">
        <f>IF(D93="","-",+C120+1)</f>
        <v>2044</v>
      </c>
      <c r="D121" s="12">
        <f>IF(F120+SUM(E$99:E120)=D$92,F120,D$92-SUM(E$99:E120))</f>
        <v>31146</v>
      </c>
      <c r="E121" s="56">
        <f t="shared" si="30"/>
        <v>1918</v>
      </c>
      <c r="F121" s="55">
        <f t="shared" si="31"/>
        <v>29228</v>
      </c>
      <c r="G121" s="55">
        <f t="shared" si="32"/>
        <v>30187</v>
      </c>
      <c r="H121" s="113">
        <f t="shared" si="33"/>
        <v>5972.6788914456938</v>
      </c>
      <c r="I121" s="122">
        <f t="shared" si="34"/>
        <v>5972.6788914456938</v>
      </c>
      <c r="J121" s="54">
        <f t="shared" si="22"/>
        <v>0</v>
      </c>
      <c r="K121" s="54"/>
      <c r="L121" s="115"/>
      <c r="M121" s="54">
        <f t="shared" si="19"/>
        <v>0</v>
      </c>
      <c r="N121" s="115"/>
      <c r="O121" s="54">
        <f t="shared" si="20"/>
        <v>0</v>
      </c>
      <c r="P121" s="54">
        <f t="shared" si="21"/>
        <v>0</v>
      </c>
    </row>
    <row r="122" spans="2:16">
      <c r="B122" s="7" t="str">
        <f t="shared" si="26"/>
        <v/>
      </c>
      <c r="C122" s="50">
        <f>IF(D93="","-",+C121+1)</f>
        <v>2045</v>
      </c>
      <c r="D122" s="12">
        <f>IF(F121+SUM(E$99:E121)=D$92,F121,D$92-SUM(E$99:E121))</f>
        <v>29228</v>
      </c>
      <c r="E122" s="56">
        <f t="shared" si="30"/>
        <v>1918</v>
      </c>
      <c r="F122" s="55">
        <f t="shared" si="31"/>
        <v>27310</v>
      </c>
      <c r="G122" s="55">
        <f t="shared" si="32"/>
        <v>28269</v>
      </c>
      <c r="H122" s="113">
        <f t="shared" si="33"/>
        <v>5715.0556061310599</v>
      </c>
      <c r="I122" s="122">
        <f t="shared" si="34"/>
        <v>5715.0556061310599</v>
      </c>
      <c r="J122" s="54">
        <f t="shared" si="22"/>
        <v>0</v>
      </c>
      <c r="K122" s="54"/>
      <c r="L122" s="115"/>
      <c r="M122" s="54">
        <f t="shared" si="19"/>
        <v>0</v>
      </c>
      <c r="N122" s="115"/>
      <c r="O122" s="54">
        <f t="shared" si="20"/>
        <v>0</v>
      </c>
      <c r="P122" s="54">
        <f t="shared" si="21"/>
        <v>0</v>
      </c>
    </row>
    <row r="123" spans="2:16">
      <c r="B123" s="7" t="str">
        <f t="shared" si="26"/>
        <v/>
      </c>
      <c r="C123" s="50">
        <f>IF(D93="","-",+C122+1)</f>
        <v>2046</v>
      </c>
      <c r="D123" s="12">
        <f>IF(F122+SUM(E$99:E122)=D$92,F122,D$92-SUM(E$99:E122))</f>
        <v>27310</v>
      </c>
      <c r="E123" s="56">
        <f t="shared" si="30"/>
        <v>1918</v>
      </c>
      <c r="F123" s="55">
        <f t="shared" si="31"/>
        <v>25392</v>
      </c>
      <c r="G123" s="55">
        <f t="shared" si="32"/>
        <v>26351</v>
      </c>
      <c r="H123" s="113">
        <f t="shared" si="33"/>
        <v>5457.432320816426</v>
      </c>
      <c r="I123" s="122">
        <f t="shared" si="34"/>
        <v>5457.432320816426</v>
      </c>
      <c r="J123" s="54">
        <f t="shared" si="22"/>
        <v>0</v>
      </c>
      <c r="K123" s="54"/>
      <c r="L123" s="115"/>
      <c r="M123" s="54">
        <f t="shared" si="19"/>
        <v>0</v>
      </c>
      <c r="N123" s="115"/>
      <c r="O123" s="54">
        <f t="shared" si="20"/>
        <v>0</v>
      </c>
      <c r="P123" s="54">
        <f t="shared" si="21"/>
        <v>0</v>
      </c>
    </row>
    <row r="124" spans="2:16">
      <c r="B124" s="7" t="str">
        <f t="shared" si="26"/>
        <v/>
      </c>
      <c r="C124" s="50">
        <f>IF(D93="","-",+C123+1)</f>
        <v>2047</v>
      </c>
      <c r="D124" s="12">
        <f>IF(F123+SUM(E$99:E123)=D$92,F123,D$92-SUM(E$99:E123))</f>
        <v>25392</v>
      </c>
      <c r="E124" s="56">
        <f t="shared" si="30"/>
        <v>1918</v>
      </c>
      <c r="F124" s="55">
        <f t="shared" si="31"/>
        <v>23474</v>
      </c>
      <c r="G124" s="55">
        <f t="shared" si="32"/>
        <v>24433</v>
      </c>
      <c r="H124" s="113">
        <f t="shared" si="33"/>
        <v>5199.809035501793</v>
      </c>
      <c r="I124" s="122">
        <f t="shared" si="34"/>
        <v>5199.809035501793</v>
      </c>
      <c r="J124" s="54">
        <f t="shared" si="22"/>
        <v>0</v>
      </c>
      <c r="K124" s="54"/>
      <c r="L124" s="115"/>
      <c r="M124" s="54">
        <f t="shared" si="19"/>
        <v>0</v>
      </c>
      <c r="N124" s="115"/>
      <c r="O124" s="54">
        <f t="shared" si="20"/>
        <v>0</v>
      </c>
      <c r="P124" s="54">
        <f t="shared" si="21"/>
        <v>0</v>
      </c>
    </row>
    <row r="125" spans="2:16">
      <c r="B125" s="7" t="str">
        <f t="shared" si="26"/>
        <v/>
      </c>
      <c r="C125" s="50">
        <f>IF(D93="","-",+C124+1)</f>
        <v>2048</v>
      </c>
      <c r="D125" s="12">
        <f>IF(F124+SUM(E$99:E124)=D$92,F124,D$92-SUM(E$99:E124))</f>
        <v>23474</v>
      </c>
      <c r="E125" s="56">
        <f t="shared" si="30"/>
        <v>1918</v>
      </c>
      <c r="F125" s="55">
        <f t="shared" si="31"/>
        <v>21556</v>
      </c>
      <c r="G125" s="55">
        <f t="shared" si="32"/>
        <v>22515</v>
      </c>
      <c r="H125" s="113">
        <f t="shared" si="33"/>
        <v>4942.18575018716</v>
      </c>
      <c r="I125" s="122">
        <f t="shared" si="34"/>
        <v>4942.18575018716</v>
      </c>
      <c r="J125" s="54">
        <f t="shared" si="22"/>
        <v>0</v>
      </c>
      <c r="K125" s="54"/>
      <c r="L125" s="115"/>
      <c r="M125" s="54">
        <f t="shared" si="19"/>
        <v>0</v>
      </c>
      <c r="N125" s="115"/>
      <c r="O125" s="54">
        <f t="shared" si="20"/>
        <v>0</v>
      </c>
      <c r="P125" s="54">
        <f t="shared" si="21"/>
        <v>0</v>
      </c>
    </row>
    <row r="126" spans="2:16">
      <c r="B126" s="7" t="str">
        <f t="shared" si="26"/>
        <v/>
      </c>
      <c r="C126" s="50">
        <f>IF(D93="","-",+C125+1)</f>
        <v>2049</v>
      </c>
      <c r="D126" s="12">
        <f>IF(F125+SUM(E$99:E125)=D$92,F125,D$92-SUM(E$99:E125))</f>
        <v>21556</v>
      </c>
      <c r="E126" s="56">
        <f t="shared" si="30"/>
        <v>1918</v>
      </c>
      <c r="F126" s="55">
        <f t="shared" si="31"/>
        <v>19638</v>
      </c>
      <c r="G126" s="55">
        <f t="shared" si="32"/>
        <v>20597</v>
      </c>
      <c r="H126" s="113">
        <f t="shared" si="33"/>
        <v>4684.5624648725261</v>
      </c>
      <c r="I126" s="122">
        <f t="shared" si="34"/>
        <v>4684.5624648725261</v>
      </c>
      <c r="J126" s="54">
        <f t="shared" si="22"/>
        <v>0</v>
      </c>
      <c r="K126" s="54"/>
      <c r="L126" s="115"/>
      <c r="M126" s="54">
        <f t="shared" si="19"/>
        <v>0</v>
      </c>
      <c r="N126" s="115"/>
      <c r="O126" s="54">
        <f t="shared" si="20"/>
        <v>0</v>
      </c>
      <c r="P126" s="54">
        <f t="shared" si="21"/>
        <v>0</v>
      </c>
    </row>
    <row r="127" spans="2:16">
      <c r="B127" s="7" t="str">
        <f t="shared" si="26"/>
        <v/>
      </c>
      <c r="C127" s="50">
        <f>IF(D93="","-",+C126+1)</f>
        <v>2050</v>
      </c>
      <c r="D127" s="12">
        <f>IF(F126+SUM(E$99:E126)=D$92,F126,D$92-SUM(E$99:E126))</f>
        <v>19638</v>
      </c>
      <c r="E127" s="56">
        <f t="shared" si="30"/>
        <v>1918</v>
      </c>
      <c r="F127" s="55">
        <f t="shared" si="31"/>
        <v>17720</v>
      </c>
      <c r="G127" s="55">
        <f t="shared" si="32"/>
        <v>18679</v>
      </c>
      <c r="H127" s="113">
        <f t="shared" si="33"/>
        <v>4426.9391795578922</v>
      </c>
      <c r="I127" s="122">
        <f t="shared" si="34"/>
        <v>4426.9391795578922</v>
      </c>
      <c r="J127" s="54">
        <f t="shared" si="22"/>
        <v>0</v>
      </c>
      <c r="K127" s="54"/>
      <c r="L127" s="115"/>
      <c r="M127" s="54">
        <f t="shared" si="19"/>
        <v>0</v>
      </c>
      <c r="N127" s="115"/>
      <c r="O127" s="54">
        <f t="shared" si="20"/>
        <v>0</v>
      </c>
      <c r="P127" s="54">
        <f t="shared" si="21"/>
        <v>0</v>
      </c>
    </row>
    <row r="128" spans="2:16">
      <c r="B128" s="7" t="str">
        <f t="shared" si="26"/>
        <v/>
      </c>
      <c r="C128" s="50">
        <f>IF(D93="","-",+C127+1)</f>
        <v>2051</v>
      </c>
      <c r="D128" s="12">
        <f>IF(F127+SUM(E$99:E127)=D$92,F127,D$92-SUM(E$99:E127))</f>
        <v>17720</v>
      </c>
      <c r="E128" s="56">
        <f t="shared" si="30"/>
        <v>1918</v>
      </c>
      <c r="F128" s="55">
        <f t="shared" si="31"/>
        <v>15802</v>
      </c>
      <c r="G128" s="55">
        <f t="shared" si="32"/>
        <v>16761</v>
      </c>
      <c r="H128" s="113">
        <f t="shared" si="33"/>
        <v>4169.3158942432592</v>
      </c>
      <c r="I128" s="122">
        <f t="shared" si="34"/>
        <v>4169.3158942432592</v>
      </c>
      <c r="J128" s="54">
        <f t="shared" si="22"/>
        <v>0</v>
      </c>
      <c r="K128" s="54"/>
      <c r="L128" s="115"/>
      <c r="M128" s="54">
        <f t="shared" si="19"/>
        <v>0</v>
      </c>
      <c r="N128" s="115"/>
      <c r="O128" s="54">
        <f t="shared" si="20"/>
        <v>0</v>
      </c>
      <c r="P128" s="54">
        <f t="shared" si="21"/>
        <v>0</v>
      </c>
    </row>
    <row r="129" spans="2:16">
      <c r="B129" s="7" t="str">
        <f t="shared" si="26"/>
        <v/>
      </c>
      <c r="C129" s="50">
        <f>IF(D93="","-",+C128+1)</f>
        <v>2052</v>
      </c>
      <c r="D129" s="12">
        <f>IF(F128+SUM(E$99:E128)=D$92,F128,D$92-SUM(E$99:E128))</f>
        <v>15802</v>
      </c>
      <c r="E129" s="56">
        <f t="shared" si="30"/>
        <v>1918</v>
      </c>
      <c r="F129" s="55">
        <f t="shared" si="31"/>
        <v>13884</v>
      </c>
      <c r="G129" s="55">
        <f t="shared" si="32"/>
        <v>14843</v>
      </c>
      <c r="H129" s="113">
        <f t="shared" si="33"/>
        <v>3911.6926089286258</v>
      </c>
      <c r="I129" s="122">
        <f t="shared" si="34"/>
        <v>3911.6926089286258</v>
      </c>
      <c r="J129" s="54">
        <f t="shared" si="22"/>
        <v>0</v>
      </c>
      <c r="K129" s="54"/>
      <c r="L129" s="115"/>
      <c r="M129" s="54">
        <f t="shared" si="19"/>
        <v>0</v>
      </c>
      <c r="N129" s="115"/>
      <c r="O129" s="54">
        <f t="shared" si="20"/>
        <v>0</v>
      </c>
      <c r="P129" s="54">
        <f t="shared" si="21"/>
        <v>0</v>
      </c>
    </row>
    <row r="130" spans="2:16">
      <c r="B130" s="7" t="str">
        <f t="shared" si="26"/>
        <v/>
      </c>
      <c r="C130" s="50">
        <f>IF(D93="","-",+C129+1)</f>
        <v>2053</v>
      </c>
      <c r="D130" s="12">
        <f>IF(F129+SUM(E$99:E129)=D$92,F129,D$92-SUM(E$99:E129))</f>
        <v>13884</v>
      </c>
      <c r="E130" s="56">
        <f t="shared" si="30"/>
        <v>1918</v>
      </c>
      <c r="F130" s="55">
        <f t="shared" si="31"/>
        <v>11966</v>
      </c>
      <c r="G130" s="55">
        <f t="shared" si="32"/>
        <v>12925</v>
      </c>
      <c r="H130" s="113">
        <f t="shared" si="33"/>
        <v>3654.0693236139923</v>
      </c>
      <c r="I130" s="122">
        <f t="shared" si="34"/>
        <v>3654.0693236139923</v>
      </c>
      <c r="J130" s="54">
        <f t="shared" si="22"/>
        <v>0</v>
      </c>
      <c r="K130" s="54"/>
      <c r="L130" s="115"/>
      <c r="M130" s="54">
        <f t="shared" si="19"/>
        <v>0</v>
      </c>
      <c r="N130" s="115"/>
      <c r="O130" s="54">
        <f t="shared" si="20"/>
        <v>0</v>
      </c>
      <c r="P130" s="54">
        <f t="shared" si="21"/>
        <v>0</v>
      </c>
    </row>
    <row r="131" spans="2:16">
      <c r="B131" s="7" t="str">
        <f t="shared" si="26"/>
        <v/>
      </c>
      <c r="C131" s="50">
        <f>IF(D93="","-",+C130+1)</f>
        <v>2054</v>
      </c>
      <c r="D131" s="12">
        <f>IF(F130+SUM(E$99:E130)=D$92,F130,D$92-SUM(E$99:E130))</f>
        <v>11966</v>
      </c>
      <c r="E131" s="56">
        <f t="shared" si="30"/>
        <v>1918</v>
      </c>
      <c r="F131" s="55">
        <f t="shared" si="31"/>
        <v>10048</v>
      </c>
      <c r="G131" s="55">
        <f t="shared" si="32"/>
        <v>11007</v>
      </c>
      <c r="H131" s="113">
        <f t="shared" si="33"/>
        <v>3396.4460382993589</v>
      </c>
      <c r="I131" s="122">
        <f t="shared" si="34"/>
        <v>3396.4460382993589</v>
      </c>
      <c r="J131" s="54">
        <f t="shared" ref="J131:J154" si="35">+I540-H540</f>
        <v>0</v>
      </c>
      <c r="K131" s="54"/>
      <c r="L131" s="115"/>
      <c r="M131" s="54">
        <f t="shared" ref="M131:M154" si="36">IF(L540&lt;&gt;0,+H540-L540,0)</f>
        <v>0</v>
      </c>
      <c r="N131" s="115"/>
      <c r="O131" s="54">
        <f t="shared" ref="O131:O154" si="37">IF(N540&lt;&gt;0,+I540-N540,0)</f>
        <v>0</v>
      </c>
      <c r="P131" s="54">
        <f t="shared" ref="P131:P154" si="38">+O540-M540</f>
        <v>0</v>
      </c>
    </row>
    <row r="132" spans="2:16">
      <c r="B132" s="7" t="str">
        <f t="shared" si="26"/>
        <v/>
      </c>
      <c r="C132" s="50">
        <f>IF(D93="","-",+C131+1)</f>
        <v>2055</v>
      </c>
      <c r="D132" s="12">
        <f>IF(F131+SUM(E$99:E131)=D$92,F131,D$92-SUM(E$99:E131))</f>
        <v>10048</v>
      </c>
      <c r="E132" s="56">
        <f t="shared" si="30"/>
        <v>1918</v>
      </c>
      <c r="F132" s="55">
        <f t="shared" si="31"/>
        <v>8130</v>
      </c>
      <c r="G132" s="55">
        <f t="shared" si="32"/>
        <v>9089</v>
      </c>
      <c r="H132" s="113">
        <f t="shared" si="33"/>
        <v>3138.8227529847254</v>
      </c>
      <c r="I132" s="122">
        <f t="shared" si="34"/>
        <v>3138.8227529847254</v>
      </c>
      <c r="J132" s="54">
        <f t="shared" si="35"/>
        <v>0</v>
      </c>
      <c r="K132" s="54"/>
      <c r="L132" s="115"/>
      <c r="M132" s="54">
        <f t="shared" si="36"/>
        <v>0</v>
      </c>
      <c r="N132" s="115"/>
      <c r="O132" s="54">
        <f t="shared" si="37"/>
        <v>0</v>
      </c>
      <c r="P132" s="54">
        <f t="shared" si="38"/>
        <v>0</v>
      </c>
    </row>
    <row r="133" spans="2:16">
      <c r="B133" s="7" t="str">
        <f t="shared" si="26"/>
        <v/>
      </c>
      <c r="C133" s="50">
        <f>IF(D93="","-",+C132+1)</f>
        <v>2056</v>
      </c>
      <c r="D133" s="12">
        <f>IF(F132+SUM(E$99:E132)=D$92,F132,D$92-SUM(E$99:E132))</f>
        <v>8130</v>
      </c>
      <c r="E133" s="56">
        <f t="shared" si="30"/>
        <v>1918</v>
      </c>
      <c r="F133" s="55">
        <f t="shared" si="31"/>
        <v>6212</v>
      </c>
      <c r="G133" s="55">
        <f t="shared" si="32"/>
        <v>7171</v>
      </c>
      <c r="H133" s="113">
        <f t="shared" si="33"/>
        <v>2881.199467670092</v>
      </c>
      <c r="I133" s="122">
        <f t="shared" si="34"/>
        <v>2881.199467670092</v>
      </c>
      <c r="J133" s="54">
        <f t="shared" si="35"/>
        <v>0</v>
      </c>
      <c r="K133" s="54"/>
      <c r="L133" s="115"/>
      <c r="M133" s="54">
        <f t="shared" si="36"/>
        <v>0</v>
      </c>
      <c r="N133" s="115"/>
      <c r="O133" s="54">
        <f t="shared" si="37"/>
        <v>0</v>
      </c>
      <c r="P133" s="54">
        <f t="shared" si="38"/>
        <v>0</v>
      </c>
    </row>
    <row r="134" spans="2:16">
      <c r="B134" s="7" t="str">
        <f t="shared" si="26"/>
        <v/>
      </c>
      <c r="C134" s="50">
        <f>IF(D93="","-",+C133+1)</f>
        <v>2057</v>
      </c>
      <c r="D134" s="12">
        <f>IF(F133+SUM(E$99:E133)=D$92,F133,D$92-SUM(E$99:E133))</f>
        <v>6212</v>
      </c>
      <c r="E134" s="56">
        <f t="shared" si="30"/>
        <v>1918</v>
      </c>
      <c r="F134" s="55">
        <f t="shared" si="31"/>
        <v>4294</v>
      </c>
      <c r="G134" s="55">
        <f t="shared" si="32"/>
        <v>5253</v>
      </c>
      <c r="H134" s="113">
        <f t="shared" si="33"/>
        <v>2623.5761823554585</v>
      </c>
      <c r="I134" s="122">
        <f t="shared" si="34"/>
        <v>2623.5761823554585</v>
      </c>
      <c r="J134" s="54">
        <f t="shared" si="35"/>
        <v>0</v>
      </c>
      <c r="K134" s="54"/>
      <c r="L134" s="115"/>
      <c r="M134" s="54">
        <f t="shared" si="36"/>
        <v>0</v>
      </c>
      <c r="N134" s="115"/>
      <c r="O134" s="54">
        <f t="shared" si="37"/>
        <v>0</v>
      </c>
      <c r="P134" s="54">
        <f t="shared" si="38"/>
        <v>0</v>
      </c>
    </row>
    <row r="135" spans="2:16">
      <c r="B135" s="7" t="str">
        <f t="shared" si="26"/>
        <v/>
      </c>
      <c r="C135" s="50">
        <f>IF(D93="","-",+C134+1)</f>
        <v>2058</v>
      </c>
      <c r="D135" s="12">
        <f>IF(F134+SUM(E$99:E134)=D$92,F134,D$92-SUM(E$99:E134))</f>
        <v>4294</v>
      </c>
      <c r="E135" s="56">
        <f t="shared" si="30"/>
        <v>1918</v>
      </c>
      <c r="F135" s="55">
        <f t="shared" si="31"/>
        <v>2376</v>
      </c>
      <c r="G135" s="55">
        <f t="shared" si="32"/>
        <v>3335</v>
      </c>
      <c r="H135" s="113">
        <f t="shared" si="33"/>
        <v>2365.9528970408251</v>
      </c>
      <c r="I135" s="122">
        <f t="shared" si="34"/>
        <v>2365.9528970408251</v>
      </c>
      <c r="J135" s="54">
        <f t="shared" si="35"/>
        <v>0</v>
      </c>
      <c r="K135" s="54"/>
      <c r="L135" s="115"/>
      <c r="M135" s="54">
        <f t="shared" si="36"/>
        <v>0</v>
      </c>
      <c r="N135" s="115"/>
      <c r="O135" s="54">
        <f t="shared" si="37"/>
        <v>0</v>
      </c>
      <c r="P135" s="54">
        <f t="shared" si="38"/>
        <v>0</v>
      </c>
    </row>
    <row r="136" spans="2:16">
      <c r="B136" s="7" t="str">
        <f t="shared" si="26"/>
        <v/>
      </c>
      <c r="C136" s="50">
        <f>IF(D93="","-",+C135+1)</f>
        <v>2059</v>
      </c>
      <c r="D136" s="12">
        <f>IF(F135+SUM(E$99:E135)=D$92,F135,D$92-SUM(E$99:E135))</f>
        <v>2376</v>
      </c>
      <c r="E136" s="56">
        <f t="shared" si="30"/>
        <v>1918</v>
      </c>
      <c r="F136" s="55">
        <f t="shared" si="31"/>
        <v>458</v>
      </c>
      <c r="G136" s="55">
        <f t="shared" si="32"/>
        <v>1417</v>
      </c>
      <c r="H136" s="113">
        <f t="shared" si="33"/>
        <v>2108.3296117261916</v>
      </c>
      <c r="I136" s="122">
        <f t="shared" si="34"/>
        <v>2108.3296117261916</v>
      </c>
      <c r="J136" s="54">
        <f t="shared" si="35"/>
        <v>0</v>
      </c>
      <c r="K136" s="54"/>
      <c r="L136" s="115"/>
      <c r="M136" s="54">
        <f t="shared" si="36"/>
        <v>0</v>
      </c>
      <c r="N136" s="115"/>
      <c r="O136" s="54">
        <f t="shared" si="37"/>
        <v>0</v>
      </c>
      <c r="P136" s="54">
        <f t="shared" si="38"/>
        <v>0</v>
      </c>
    </row>
    <row r="137" spans="2:16">
      <c r="B137" s="7" t="str">
        <f t="shared" si="26"/>
        <v/>
      </c>
      <c r="C137" s="50">
        <f>IF(D93="","-",+C136+1)</f>
        <v>2060</v>
      </c>
      <c r="D137" s="12">
        <f>IF(F136+SUM(E$99:E136)=D$92,F136,D$92-SUM(E$99:E136))</f>
        <v>458</v>
      </c>
      <c r="E137" s="56">
        <f t="shared" si="30"/>
        <v>458</v>
      </c>
      <c r="F137" s="55">
        <f t="shared" si="31"/>
        <v>0</v>
      </c>
      <c r="G137" s="55">
        <f t="shared" si="32"/>
        <v>229</v>
      </c>
      <c r="H137" s="113">
        <f t="shared" si="33"/>
        <v>488.75898453443745</v>
      </c>
      <c r="I137" s="122">
        <f t="shared" si="34"/>
        <v>488.75898453443745</v>
      </c>
      <c r="J137" s="54">
        <f t="shared" si="35"/>
        <v>0</v>
      </c>
      <c r="K137" s="54"/>
      <c r="L137" s="115"/>
      <c r="M137" s="54">
        <f t="shared" si="36"/>
        <v>0</v>
      </c>
      <c r="N137" s="115"/>
      <c r="O137" s="54">
        <f t="shared" si="37"/>
        <v>0</v>
      </c>
      <c r="P137" s="54">
        <f t="shared" si="38"/>
        <v>0</v>
      </c>
    </row>
    <row r="138" spans="2:16">
      <c r="B138" s="7" t="str">
        <f t="shared" si="26"/>
        <v/>
      </c>
      <c r="C138" s="50">
        <f>IF(D93="","-",+C137+1)</f>
        <v>2061</v>
      </c>
      <c r="D138" s="12">
        <f>IF(F137+SUM(E$99:E137)=D$92,F137,D$92-SUM(E$99:E137))</f>
        <v>0</v>
      </c>
      <c r="E138" s="56">
        <f t="shared" si="30"/>
        <v>0</v>
      </c>
      <c r="F138" s="55">
        <f t="shared" si="31"/>
        <v>0</v>
      </c>
      <c r="G138" s="55">
        <f t="shared" si="32"/>
        <v>0</v>
      </c>
      <c r="H138" s="113">
        <f t="shared" si="33"/>
        <v>0</v>
      </c>
      <c r="I138" s="122">
        <f t="shared" si="34"/>
        <v>0</v>
      </c>
      <c r="J138" s="54">
        <f t="shared" si="35"/>
        <v>0</v>
      </c>
      <c r="K138" s="54"/>
      <c r="L138" s="115"/>
      <c r="M138" s="54">
        <f t="shared" si="36"/>
        <v>0</v>
      </c>
      <c r="N138" s="115"/>
      <c r="O138" s="54">
        <f t="shared" si="37"/>
        <v>0</v>
      </c>
      <c r="P138" s="54">
        <f t="shared" si="38"/>
        <v>0</v>
      </c>
    </row>
    <row r="139" spans="2:16">
      <c r="B139" s="7" t="str">
        <f t="shared" si="26"/>
        <v/>
      </c>
      <c r="C139" s="50">
        <f>IF(D93="","-",+C138+1)</f>
        <v>2062</v>
      </c>
      <c r="D139" s="12">
        <f>IF(F138+SUM(E$99:E138)=D$92,F138,D$92-SUM(E$99:E138))</f>
        <v>0</v>
      </c>
      <c r="E139" s="56">
        <f t="shared" si="30"/>
        <v>0</v>
      </c>
      <c r="F139" s="55">
        <f t="shared" si="31"/>
        <v>0</v>
      </c>
      <c r="G139" s="55">
        <f t="shared" si="32"/>
        <v>0</v>
      </c>
      <c r="H139" s="113">
        <f t="shared" si="33"/>
        <v>0</v>
      </c>
      <c r="I139" s="122">
        <f t="shared" si="34"/>
        <v>0</v>
      </c>
      <c r="J139" s="54">
        <f t="shared" si="35"/>
        <v>0</v>
      </c>
      <c r="K139" s="54"/>
      <c r="L139" s="115"/>
      <c r="M139" s="54">
        <f t="shared" si="36"/>
        <v>0</v>
      </c>
      <c r="N139" s="115"/>
      <c r="O139" s="54">
        <f t="shared" si="37"/>
        <v>0</v>
      </c>
      <c r="P139" s="54">
        <f t="shared" si="38"/>
        <v>0</v>
      </c>
    </row>
    <row r="140" spans="2:16">
      <c r="B140" s="7" t="str">
        <f t="shared" si="26"/>
        <v/>
      </c>
      <c r="C140" s="50">
        <f>IF(D93="","-",+C139+1)</f>
        <v>2063</v>
      </c>
      <c r="D140" s="12">
        <f>IF(F139+SUM(E$99:E139)=D$92,F139,D$92-SUM(E$99:E139))</f>
        <v>0</v>
      </c>
      <c r="E140" s="56">
        <f t="shared" si="30"/>
        <v>0</v>
      </c>
      <c r="F140" s="55">
        <f t="shared" si="31"/>
        <v>0</v>
      </c>
      <c r="G140" s="55">
        <f t="shared" si="32"/>
        <v>0</v>
      </c>
      <c r="H140" s="113">
        <f t="shared" si="33"/>
        <v>0</v>
      </c>
      <c r="I140" s="122">
        <f t="shared" si="34"/>
        <v>0</v>
      </c>
      <c r="J140" s="54">
        <f t="shared" si="35"/>
        <v>0</v>
      </c>
      <c r="K140" s="54"/>
      <c r="L140" s="115"/>
      <c r="M140" s="54">
        <f t="shared" si="36"/>
        <v>0</v>
      </c>
      <c r="N140" s="115"/>
      <c r="O140" s="54">
        <f t="shared" si="37"/>
        <v>0</v>
      </c>
      <c r="P140" s="54">
        <f t="shared" si="38"/>
        <v>0</v>
      </c>
    </row>
    <row r="141" spans="2:16">
      <c r="B141" s="7" t="str">
        <f t="shared" si="26"/>
        <v/>
      </c>
      <c r="C141" s="50">
        <f>IF(D93="","-",+C140+1)</f>
        <v>2064</v>
      </c>
      <c r="D141" s="12">
        <f>IF(F140+SUM(E$99:E140)=D$92,F140,D$92-SUM(E$99:E140))</f>
        <v>0</v>
      </c>
      <c r="E141" s="56">
        <f t="shared" si="30"/>
        <v>0</v>
      </c>
      <c r="F141" s="55">
        <f t="shared" si="31"/>
        <v>0</v>
      </c>
      <c r="G141" s="55">
        <f t="shared" si="32"/>
        <v>0</v>
      </c>
      <c r="H141" s="113">
        <f t="shared" si="33"/>
        <v>0</v>
      </c>
      <c r="I141" s="122">
        <f t="shared" si="34"/>
        <v>0</v>
      </c>
      <c r="J141" s="54">
        <f t="shared" si="35"/>
        <v>0</v>
      </c>
      <c r="K141" s="54"/>
      <c r="L141" s="115"/>
      <c r="M141" s="54">
        <f t="shared" si="36"/>
        <v>0</v>
      </c>
      <c r="N141" s="115"/>
      <c r="O141" s="54">
        <f t="shared" si="37"/>
        <v>0</v>
      </c>
      <c r="P141" s="54">
        <f t="shared" si="38"/>
        <v>0</v>
      </c>
    </row>
    <row r="142" spans="2:16">
      <c r="B142" s="7" t="str">
        <f t="shared" si="26"/>
        <v/>
      </c>
      <c r="C142" s="50">
        <f>IF(D93="","-",+C141+1)</f>
        <v>2065</v>
      </c>
      <c r="D142" s="12">
        <f>IF(F141+SUM(E$99:E141)=D$92,F141,D$92-SUM(E$99:E141))</f>
        <v>0</v>
      </c>
      <c r="E142" s="56">
        <f t="shared" si="30"/>
        <v>0</v>
      </c>
      <c r="F142" s="55">
        <f t="shared" si="31"/>
        <v>0</v>
      </c>
      <c r="G142" s="55">
        <f t="shared" si="32"/>
        <v>0</v>
      </c>
      <c r="H142" s="113">
        <f t="shared" si="33"/>
        <v>0</v>
      </c>
      <c r="I142" s="122">
        <f t="shared" si="34"/>
        <v>0</v>
      </c>
      <c r="J142" s="54">
        <f t="shared" si="35"/>
        <v>0</v>
      </c>
      <c r="K142" s="54"/>
      <c r="L142" s="115"/>
      <c r="M142" s="54">
        <f t="shared" si="36"/>
        <v>0</v>
      </c>
      <c r="N142" s="115"/>
      <c r="O142" s="54">
        <f t="shared" si="37"/>
        <v>0</v>
      </c>
      <c r="P142" s="54">
        <f t="shared" si="38"/>
        <v>0</v>
      </c>
    </row>
    <row r="143" spans="2:16">
      <c r="B143" s="7" t="str">
        <f t="shared" si="26"/>
        <v/>
      </c>
      <c r="C143" s="50">
        <f>IF(D93="","-",+C142+1)</f>
        <v>2066</v>
      </c>
      <c r="D143" s="12">
        <f>IF(F142+SUM(E$99:E142)=D$92,F142,D$92-SUM(E$99:E142))</f>
        <v>0</v>
      </c>
      <c r="E143" s="56">
        <f t="shared" si="30"/>
        <v>0</v>
      </c>
      <c r="F143" s="55">
        <f t="shared" si="31"/>
        <v>0</v>
      </c>
      <c r="G143" s="55">
        <f t="shared" si="32"/>
        <v>0</v>
      </c>
      <c r="H143" s="113">
        <f t="shared" si="33"/>
        <v>0</v>
      </c>
      <c r="I143" s="122">
        <f t="shared" si="34"/>
        <v>0</v>
      </c>
      <c r="J143" s="54">
        <f t="shared" si="35"/>
        <v>0</v>
      </c>
      <c r="K143" s="54"/>
      <c r="L143" s="115"/>
      <c r="M143" s="54">
        <f t="shared" si="36"/>
        <v>0</v>
      </c>
      <c r="N143" s="115"/>
      <c r="O143" s="54">
        <f t="shared" si="37"/>
        <v>0</v>
      </c>
      <c r="P143" s="54">
        <f t="shared" si="38"/>
        <v>0</v>
      </c>
    </row>
    <row r="144" spans="2:16">
      <c r="B144" s="7" t="str">
        <f t="shared" si="26"/>
        <v/>
      </c>
      <c r="C144" s="50">
        <f>IF(D93="","-",+C143+1)</f>
        <v>2067</v>
      </c>
      <c r="D144" s="12">
        <f>IF(F143+SUM(E$99:E143)=D$92,F143,D$92-SUM(E$99:E143))</f>
        <v>0</v>
      </c>
      <c r="E144" s="56">
        <f t="shared" si="30"/>
        <v>0</v>
      </c>
      <c r="F144" s="55">
        <f t="shared" si="31"/>
        <v>0</v>
      </c>
      <c r="G144" s="55">
        <f t="shared" si="32"/>
        <v>0</v>
      </c>
      <c r="H144" s="113">
        <f t="shared" si="33"/>
        <v>0</v>
      </c>
      <c r="I144" s="122">
        <f t="shared" si="34"/>
        <v>0</v>
      </c>
      <c r="J144" s="54">
        <f t="shared" si="35"/>
        <v>0</v>
      </c>
      <c r="K144" s="54"/>
      <c r="L144" s="115"/>
      <c r="M144" s="54">
        <f t="shared" si="36"/>
        <v>0</v>
      </c>
      <c r="N144" s="115"/>
      <c r="O144" s="54">
        <f t="shared" si="37"/>
        <v>0</v>
      </c>
      <c r="P144" s="54">
        <f t="shared" si="38"/>
        <v>0</v>
      </c>
    </row>
    <row r="145" spans="2:16">
      <c r="B145" s="7" t="str">
        <f t="shared" si="26"/>
        <v/>
      </c>
      <c r="C145" s="50">
        <f>IF(D93="","-",+C144+1)</f>
        <v>2068</v>
      </c>
      <c r="D145" s="12">
        <f>IF(F144+SUM(E$99:E144)=D$92,F144,D$92-SUM(E$99:E144))</f>
        <v>0</v>
      </c>
      <c r="E145" s="56">
        <f t="shared" si="30"/>
        <v>0</v>
      </c>
      <c r="F145" s="55">
        <f t="shared" si="31"/>
        <v>0</v>
      </c>
      <c r="G145" s="55">
        <f t="shared" si="32"/>
        <v>0</v>
      </c>
      <c r="H145" s="113">
        <f t="shared" si="33"/>
        <v>0</v>
      </c>
      <c r="I145" s="122">
        <f t="shared" si="34"/>
        <v>0</v>
      </c>
      <c r="J145" s="54">
        <f t="shared" si="35"/>
        <v>0</v>
      </c>
      <c r="K145" s="54"/>
      <c r="L145" s="115"/>
      <c r="M145" s="54">
        <f t="shared" si="36"/>
        <v>0</v>
      </c>
      <c r="N145" s="115"/>
      <c r="O145" s="54">
        <f t="shared" si="37"/>
        <v>0</v>
      </c>
      <c r="P145" s="54">
        <f t="shared" si="38"/>
        <v>0</v>
      </c>
    </row>
    <row r="146" spans="2:16">
      <c r="B146" s="7" t="str">
        <f t="shared" si="26"/>
        <v/>
      </c>
      <c r="C146" s="50">
        <f>IF(D93="","-",+C145+1)</f>
        <v>2069</v>
      </c>
      <c r="D146" s="12">
        <f>IF(F145+SUM(E$99:E145)=D$92,F145,D$92-SUM(E$99:E145))</f>
        <v>0</v>
      </c>
      <c r="E146" s="56">
        <f t="shared" si="30"/>
        <v>0</v>
      </c>
      <c r="F146" s="55">
        <f t="shared" si="31"/>
        <v>0</v>
      </c>
      <c r="G146" s="55">
        <f t="shared" si="32"/>
        <v>0</v>
      </c>
      <c r="H146" s="113">
        <f t="shared" si="33"/>
        <v>0</v>
      </c>
      <c r="I146" s="122">
        <f t="shared" si="34"/>
        <v>0</v>
      </c>
      <c r="J146" s="54">
        <f t="shared" si="35"/>
        <v>0</v>
      </c>
      <c r="K146" s="54"/>
      <c r="L146" s="115"/>
      <c r="M146" s="54">
        <f t="shared" si="36"/>
        <v>0</v>
      </c>
      <c r="N146" s="115"/>
      <c r="O146" s="54">
        <f t="shared" si="37"/>
        <v>0</v>
      </c>
      <c r="P146" s="54">
        <f t="shared" si="38"/>
        <v>0</v>
      </c>
    </row>
    <row r="147" spans="2:16">
      <c r="B147" s="7" t="str">
        <f t="shared" si="26"/>
        <v/>
      </c>
      <c r="C147" s="50">
        <f>IF(D93="","-",+C146+1)</f>
        <v>2070</v>
      </c>
      <c r="D147" s="12">
        <f>IF(F146+SUM(E$99:E146)=D$92,F146,D$92-SUM(E$99:E146))</f>
        <v>0</v>
      </c>
      <c r="E147" s="56">
        <f t="shared" si="30"/>
        <v>0</v>
      </c>
      <c r="F147" s="55">
        <f t="shared" si="31"/>
        <v>0</v>
      </c>
      <c r="G147" s="55">
        <f t="shared" si="32"/>
        <v>0</v>
      </c>
      <c r="H147" s="113">
        <f t="shared" si="33"/>
        <v>0</v>
      </c>
      <c r="I147" s="122">
        <f t="shared" si="34"/>
        <v>0</v>
      </c>
      <c r="J147" s="54">
        <f t="shared" si="35"/>
        <v>0</v>
      </c>
      <c r="K147" s="54"/>
      <c r="L147" s="115"/>
      <c r="M147" s="54">
        <f t="shared" si="36"/>
        <v>0</v>
      </c>
      <c r="N147" s="115"/>
      <c r="O147" s="54">
        <f t="shared" si="37"/>
        <v>0</v>
      </c>
      <c r="P147" s="54">
        <f t="shared" si="38"/>
        <v>0</v>
      </c>
    </row>
    <row r="148" spans="2:16">
      <c r="B148" s="7" t="str">
        <f t="shared" si="26"/>
        <v/>
      </c>
      <c r="C148" s="50">
        <f>IF(D93="","-",+C147+1)</f>
        <v>2071</v>
      </c>
      <c r="D148" s="12">
        <f>IF(F147+SUM(E$99:E147)=D$92,F147,D$92-SUM(E$99:E147))</f>
        <v>0</v>
      </c>
      <c r="E148" s="56">
        <f t="shared" si="30"/>
        <v>0</v>
      </c>
      <c r="F148" s="55">
        <f t="shared" si="31"/>
        <v>0</v>
      </c>
      <c r="G148" s="55">
        <f t="shared" si="32"/>
        <v>0</v>
      </c>
      <c r="H148" s="113">
        <f t="shared" si="33"/>
        <v>0</v>
      </c>
      <c r="I148" s="122">
        <f t="shared" si="34"/>
        <v>0</v>
      </c>
      <c r="J148" s="54">
        <f t="shared" si="35"/>
        <v>0</v>
      </c>
      <c r="K148" s="54"/>
      <c r="L148" s="115"/>
      <c r="M148" s="54">
        <f t="shared" si="36"/>
        <v>0</v>
      </c>
      <c r="N148" s="115"/>
      <c r="O148" s="54">
        <f t="shared" si="37"/>
        <v>0</v>
      </c>
      <c r="P148" s="54">
        <f t="shared" si="38"/>
        <v>0</v>
      </c>
    </row>
    <row r="149" spans="2:16">
      <c r="B149" s="7" t="str">
        <f t="shared" si="26"/>
        <v/>
      </c>
      <c r="C149" s="50">
        <f>IF(D93="","-",+C148+1)</f>
        <v>2072</v>
      </c>
      <c r="D149" s="12">
        <f>IF(F148+SUM(E$99:E148)=D$92,F148,D$92-SUM(E$99:E148))</f>
        <v>0</v>
      </c>
      <c r="E149" s="56">
        <f t="shared" si="30"/>
        <v>0</v>
      </c>
      <c r="F149" s="55">
        <f t="shared" si="31"/>
        <v>0</v>
      </c>
      <c r="G149" s="55">
        <f t="shared" si="32"/>
        <v>0</v>
      </c>
      <c r="H149" s="113">
        <f t="shared" si="33"/>
        <v>0</v>
      </c>
      <c r="I149" s="122">
        <f t="shared" si="34"/>
        <v>0</v>
      </c>
      <c r="J149" s="54">
        <f t="shared" si="35"/>
        <v>0</v>
      </c>
      <c r="K149" s="54"/>
      <c r="L149" s="115"/>
      <c r="M149" s="54">
        <f t="shared" si="36"/>
        <v>0</v>
      </c>
      <c r="N149" s="115"/>
      <c r="O149" s="54">
        <f t="shared" si="37"/>
        <v>0</v>
      </c>
      <c r="P149" s="54">
        <f t="shared" si="38"/>
        <v>0</v>
      </c>
    </row>
    <row r="150" spans="2:16">
      <c r="B150" s="7" t="str">
        <f t="shared" si="26"/>
        <v/>
      </c>
      <c r="C150" s="50">
        <f>IF(D93="","-",+C149+1)</f>
        <v>2073</v>
      </c>
      <c r="D150" s="12">
        <f>IF(F149+SUM(E$99:E149)=D$92,F149,D$92-SUM(E$99:E149))</f>
        <v>0</v>
      </c>
      <c r="E150" s="56">
        <f t="shared" si="30"/>
        <v>0</v>
      </c>
      <c r="F150" s="55">
        <f t="shared" si="31"/>
        <v>0</v>
      </c>
      <c r="G150" s="55">
        <f t="shared" si="32"/>
        <v>0</v>
      </c>
      <c r="H150" s="113">
        <f t="shared" si="33"/>
        <v>0</v>
      </c>
      <c r="I150" s="122">
        <f t="shared" si="34"/>
        <v>0</v>
      </c>
      <c r="J150" s="54">
        <f t="shared" si="35"/>
        <v>0</v>
      </c>
      <c r="K150" s="54"/>
      <c r="L150" s="115"/>
      <c r="M150" s="54">
        <f t="shared" si="36"/>
        <v>0</v>
      </c>
      <c r="N150" s="115"/>
      <c r="O150" s="54">
        <f t="shared" si="37"/>
        <v>0</v>
      </c>
      <c r="P150" s="54">
        <f t="shared" si="38"/>
        <v>0</v>
      </c>
    </row>
    <row r="151" spans="2:16">
      <c r="B151" s="7" t="str">
        <f t="shared" si="26"/>
        <v/>
      </c>
      <c r="C151" s="50">
        <f>IF(D93="","-",+C150+1)</f>
        <v>2074</v>
      </c>
      <c r="D151" s="12">
        <f>IF(F150+SUM(E$99:E150)=D$92,F150,D$92-SUM(E$99:E150))</f>
        <v>0</v>
      </c>
      <c r="E151" s="56">
        <f t="shared" si="30"/>
        <v>0</v>
      </c>
      <c r="F151" s="55">
        <f t="shared" si="31"/>
        <v>0</v>
      </c>
      <c r="G151" s="55">
        <f t="shared" si="32"/>
        <v>0</v>
      </c>
      <c r="H151" s="113">
        <f t="shared" si="33"/>
        <v>0</v>
      </c>
      <c r="I151" s="122">
        <f t="shared" si="34"/>
        <v>0</v>
      </c>
      <c r="J151" s="54">
        <f t="shared" si="35"/>
        <v>0</v>
      </c>
      <c r="K151" s="54"/>
      <c r="L151" s="115"/>
      <c r="M151" s="54">
        <f t="shared" si="36"/>
        <v>0</v>
      </c>
      <c r="N151" s="115"/>
      <c r="O151" s="54">
        <f t="shared" si="37"/>
        <v>0</v>
      </c>
      <c r="P151" s="54">
        <f t="shared" si="38"/>
        <v>0</v>
      </c>
    </row>
    <row r="152" spans="2:16">
      <c r="B152" s="7" t="str">
        <f t="shared" si="26"/>
        <v/>
      </c>
      <c r="C152" s="50">
        <f>IF(D93="","-",+C151+1)</f>
        <v>2075</v>
      </c>
      <c r="D152" s="12">
        <f>IF(F151+SUM(E$99:E151)=D$92,F151,D$92-SUM(E$99:E151))</f>
        <v>0</v>
      </c>
      <c r="E152" s="56">
        <f t="shared" si="30"/>
        <v>0</v>
      </c>
      <c r="F152" s="55">
        <f t="shared" si="31"/>
        <v>0</v>
      </c>
      <c r="G152" s="55">
        <f t="shared" si="32"/>
        <v>0</v>
      </c>
      <c r="H152" s="113">
        <f t="shared" si="33"/>
        <v>0</v>
      </c>
      <c r="I152" s="122">
        <f t="shared" si="34"/>
        <v>0</v>
      </c>
      <c r="J152" s="54">
        <f t="shared" si="35"/>
        <v>0</v>
      </c>
      <c r="K152" s="54"/>
      <c r="L152" s="115"/>
      <c r="M152" s="54">
        <f t="shared" si="36"/>
        <v>0</v>
      </c>
      <c r="N152" s="115"/>
      <c r="O152" s="54">
        <f t="shared" si="37"/>
        <v>0</v>
      </c>
      <c r="P152" s="54">
        <f t="shared" si="38"/>
        <v>0</v>
      </c>
    </row>
    <row r="153" spans="2:16">
      <c r="B153" s="7" t="str">
        <f t="shared" si="26"/>
        <v/>
      </c>
      <c r="C153" s="50">
        <f>IF(D93="","-",+C152+1)</f>
        <v>2076</v>
      </c>
      <c r="D153" s="12">
        <f>IF(F152+SUM(E$99:E152)=D$92,F152,D$92-SUM(E$99:E152))</f>
        <v>0</v>
      </c>
      <c r="E153" s="56">
        <f t="shared" si="30"/>
        <v>0</v>
      </c>
      <c r="F153" s="55">
        <f t="shared" si="31"/>
        <v>0</v>
      </c>
      <c r="G153" s="55">
        <f t="shared" si="32"/>
        <v>0</v>
      </c>
      <c r="H153" s="113">
        <f t="shared" si="33"/>
        <v>0</v>
      </c>
      <c r="I153" s="122">
        <f t="shared" si="34"/>
        <v>0</v>
      </c>
      <c r="J153" s="54">
        <f t="shared" si="35"/>
        <v>0</v>
      </c>
      <c r="K153" s="54"/>
      <c r="L153" s="115"/>
      <c r="M153" s="54">
        <f t="shared" si="36"/>
        <v>0</v>
      </c>
      <c r="N153" s="115"/>
      <c r="O153" s="54">
        <f t="shared" si="37"/>
        <v>0</v>
      </c>
      <c r="P153" s="54">
        <f t="shared" si="38"/>
        <v>0</v>
      </c>
    </row>
    <row r="154" spans="2:16" ht="13" thickBot="1">
      <c r="B154" s="7" t="str">
        <f t="shared" si="26"/>
        <v/>
      </c>
      <c r="C154" s="58">
        <f>IF(D93="","-",+C153+1)</f>
        <v>2077</v>
      </c>
      <c r="D154" s="82">
        <f>IF(F153+SUM(E$99:E153)=D$92,F153,D$92-SUM(E$99:E153))</f>
        <v>0</v>
      </c>
      <c r="E154" s="60">
        <f t="shared" si="30"/>
        <v>0</v>
      </c>
      <c r="F154" s="59">
        <f t="shared" si="31"/>
        <v>0</v>
      </c>
      <c r="G154" s="59">
        <f t="shared" si="32"/>
        <v>0</v>
      </c>
      <c r="H154" s="123">
        <f t="shared" si="33"/>
        <v>0</v>
      </c>
      <c r="I154" s="124">
        <f t="shared" si="34"/>
        <v>0</v>
      </c>
      <c r="J154" s="62">
        <f t="shared" si="35"/>
        <v>0</v>
      </c>
      <c r="K154" s="54"/>
      <c r="L154" s="116"/>
      <c r="M154" s="62">
        <f t="shared" si="36"/>
        <v>0</v>
      </c>
      <c r="N154" s="116"/>
      <c r="O154" s="62">
        <f t="shared" si="37"/>
        <v>0</v>
      </c>
      <c r="P154" s="62">
        <f t="shared" si="38"/>
        <v>0</v>
      </c>
    </row>
    <row r="155" spans="2:16">
      <c r="C155" s="12" t="s">
        <v>77</v>
      </c>
      <c r="D155" s="267"/>
      <c r="E155" s="267">
        <f>SUM(E99:E154)</f>
        <v>70968</v>
      </c>
      <c r="F155" s="267"/>
      <c r="G155" s="267"/>
      <c r="H155" s="267">
        <f>SUM(H99:H154)</f>
        <v>249709.55469070468</v>
      </c>
      <c r="I155" s="267">
        <f>SUM(I99:I154)</f>
        <v>249709.55469070468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16151-5327-4DF2-B62C-3F4BB113576E}">
  <dimension ref="A1:V162"/>
  <sheetViews>
    <sheetView topLeftCell="A62"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32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1153456.691984847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1153456.691984847</v>
      </c>
      <c r="O6" s="1"/>
      <c r="P6" s="1"/>
    </row>
    <row r="7" spans="1:16" ht="13.5" thickBot="1">
      <c r="C7" s="26" t="s">
        <v>46</v>
      </c>
      <c r="D7" s="88" t="s">
        <v>453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381</v>
      </c>
      <c r="E9" s="442" t="s">
        <v>385</v>
      </c>
      <c r="F9" s="32"/>
      <c r="G9" s="452" t="s">
        <v>418</v>
      </c>
      <c r="H9" s="32"/>
      <c r="I9" s="33"/>
      <c r="J9" s="34"/>
      <c r="P9" s="1"/>
    </row>
    <row r="10" spans="1:16" ht="13">
      <c r="C10" s="128" t="s">
        <v>226</v>
      </c>
      <c r="D10" s="35">
        <v>8273024.4931824636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217711.17087322273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453">
        <v>0</v>
      </c>
      <c r="E17" s="453">
        <v>0</v>
      </c>
      <c r="F17" s="453">
        <v>3910936</v>
      </c>
      <c r="G17" s="453">
        <v>222415.29712588375</v>
      </c>
      <c r="H17" s="453">
        <v>222415.29712588375</v>
      </c>
      <c r="I17" s="52">
        <f>H17-G17</f>
        <v>0</v>
      </c>
      <c r="J17" s="52"/>
      <c r="K17" s="117">
        <f>+G17</f>
        <v>222415.29712588375</v>
      </c>
      <c r="L17" s="53">
        <f t="shared" ref="L17" si="0">IF(K17&lt;&gt;0,+G17-K17,0)</f>
        <v>0</v>
      </c>
      <c r="M17" s="117">
        <f>+H17</f>
        <v>222415.29712588375</v>
      </c>
      <c r="N17" s="53">
        <f t="shared" ref="N17" si="1">IF(M17&lt;&gt;0,+H17-M17,0)</f>
        <v>0</v>
      </c>
      <c r="O17" s="54">
        <f t="shared" ref="O17" si="2">+N17-L17</f>
        <v>0</v>
      </c>
      <c r="P17" s="1"/>
    </row>
    <row r="18" spans="2:16" ht="13">
      <c r="B18" s="7" t="str">
        <f>IF(D18=F17,"","IU")</f>
        <v>IU</v>
      </c>
      <c r="C18" s="449">
        <f>IF(D11="","-",+C17+1)</f>
        <v>2025</v>
      </c>
      <c r="D18" s="453">
        <v>7363543.5729849767</v>
      </c>
      <c r="E18" s="453">
        <v>193777.46244697308</v>
      </c>
      <c r="F18" s="453">
        <v>7169766.110538004</v>
      </c>
      <c r="G18" s="453">
        <v>1019316.6434972463</v>
      </c>
      <c r="H18" s="453">
        <v>1019316.6434972463</v>
      </c>
      <c r="I18" s="52">
        <f>H18-G18</f>
        <v>0</v>
      </c>
      <c r="J18" s="52"/>
      <c r="K18" s="324">
        <f>+G18</f>
        <v>1019316.6434972463</v>
      </c>
      <c r="L18" s="54">
        <f t="shared" ref="L18" si="3">IF(K18&lt;&gt;0,+G18-K18,0)</f>
        <v>0</v>
      </c>
      <c r="M18" s="324">
        <f>+H18</f>
        <v>1019316.6434972463</v>
      </c>
      <c r="N18" s="54">
        <f t="shared" ref="N18" si="4">IF(M18&lt;&gt;0,+H18-M18,0)</f>
        <v>0</v>
      </c>
      <c r="O18" s="54">
        <f t="shared" ref="O18" si="5"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8079247.0307354908</v>
      </c>
      <c r="E19" s="56">
        <f t="shared" ref="E19:E71" si="6">IF(+I$14&lt;F18,I$14,D19)</f>
        <v>217711.17087322273</v>
      </c>
      <c r="F19" s="55">
        <f t="shared" ref="F19:F71" si="7">+D19-E19</f>
        <v>7861535.859862268</v>
      </c>
      <c r="G19" s="57">
        <f t="shared" ref="G19:G71" si="8">(D19+F19)/2*I$12+E19</f>
        <v>1153456.691984847</v>
      </c>
      <c r="H19" s="42">
        <f t="shared" ref="H19:H71" si="9">+(D19+F19)/2*I$13+E19</f>
        <v>1153456.691984847</v>
      </c>
      <c r="I19" s="52">
        <f t="shared" ref="I19:I71" si="10">H19-G19</f>
        <v>0</v>
      </c>
      <c r="J19" s="52"/>
      <c r="K19" s="115"/>
      <c r="L19" s="54">
        <f t="shared" ref="L19:L72" si="11">IF(K19&lt;&gt;0,+G19-K19,0)</f>
        <v>0</v>
      </c>
      <c r="M19" s="115"/>
      <c r="N19" s="54">
        <f t="shared" ref="N19:N72" si="12">IF(M19&lt;&gt;0,+H19-M19,0)</f>
        <v>0</v>
      </c>
      <c r="O19" s="54">
        <f t="shared" ref="O19:O72" si="13">+N19-L19</f>
        <v>0</v>
      </c>
      <c r="P19" s="1"/>
    </row>
    <row r="20" spans="2:16" ht="12.5">
      <c r="B20" s="7" t="str">
        <f t="shared" ref="B20:B72" si="14">IF(D20=F19,"","IU")</f>
        <v/>
      </c>
      <c r="C20" s="50">
        <f>IF(D11="","-",+C19+1)</f>
        <v>2027</v>
      </c>
      <c r="D20" s="55">
        <f>IF(F19+SUM(E$17:E19)=D$10,F19,D$10-SUM(E$17:E19))</f>
        <v>7861535.859862268</v>
      </c>
      <c r="E20" s="56">
        <f t="shared" si="6"/>
        <v>217711.17087322273</v>
      </c>
      <c r="F20" s="55">
        <f t="shared" si="7"/>
        <v>7643824.6889890451</v>
      </c>
      <c r="G20" s="57">
        <f t="shared" si="8"/>
        <v>1127896.8114647069</v>
      </c>
      <c r="H20" s="42">
        <f t="shared" si="9"/>
        <v>1127896.8114647069</v>
      </c>
      <c r="I20" s="52">
        <f t="shared" si="10"/>
        <v>0</v>
      </c>
      <c r="J20" s="52"/>
      <c r="K20" s="115"/>
      <c r="L20" s="54">
        <f t="shared" si="11"/>
        <v>0</v>
      </c>
      <c r="M20" s="115"/>
      <c r="N20" s="54">
        <f t="shared" si="12"/>
        <v>0</v>
      </c>
      <c r="O20" s="54">
        <f t="shared" si="13"/>
        <v>0</v>
      </c>
      <c r="P20" s="1"/>
    </row>
    <row r="21" spans="2:16" ht="12.5">
      <c r="B21" s="7" t="str">
        <f t="shared" si="14"/>
        <v/>
      </c>
      <c r="C21" s="50">
        <f>IF(D11="","-",+C20+1)</f>
        <v>2028</v>
      </c>
      <c r="D21" s="55">
        <f>IF(F20+SUM(E$17:E20)=D$10,F20,D$10-SUM(E$17:E20))</f>
        <v>7643824.6889890451</v>
      </c>
      <c r="E21" s="56">
        <f t="shared" si="6"/>
        <v>217711.17087322273</v>
      </c>
      <c r="F21" s="55">
        <f t="shared" si="7"/>
        <v>7426113.5181158222</v>
      </c>
      <c r="G21" s="57">
        <f t="shared" si="8"/>
        <v>1102336.9309445668</v>
      </c>
      <c r="H21" s="42">
        <f t="shared" si="9"/>
        <v>1102336.9309445668</v>
      </c>
      <c r="I21" s="52">
        <f t="shared" si="10"/>
        <v>0</v>
      </c>
      <c r="J21" s="52"/>
      <c r="K21" s="115"/>
      <c r="L21" s="54">
        <f t="shared" si="11"/>
        <v>0</v>
      </c>
      <c r="M21" s="115"/>
      <c r="N21" s="54">
        <f t="shared" si="12"/>
        <v>0</v>
      </c>
      <c r="O21" s="54">
        <f t="shared" si="13"/>
        <v>0</v>
      </c>
      <c r="P21" s="1"/>
    </row>
    <row r="22" spans="2:16" ht="12.5">
      <c r="B22" s="7" t="str">
        <f t="shared" si="14"/>
        <v/>
      </c>
      <c r="C22" s="50">
        <f>IF(D11="","-",+C21+1)</f>
        <v>2029</v>
      </c>
      <c r="D22" s="55">
        <f>IF(F21+SUM(E$17:E21)=D$10,F21,D$10-SUM(E$17:E21))</f>
        <v>7426113.5181158222</v>
      </c>
      <c r="E22" s="56">
        <f t="shared" si="6"/>
        <v>217711.17087322273</v>
      </c>
      <c r="F22" s="55">
        <f t="shared" si="7"/>
        <v>7208402.3472425994</v>
      </c>
      <c r="G22" s="57">
        <f t="shared" si="8"/>
        <v>1076777.0504244268</v>
      </c>
      <c r="H22" s="42">
        <f t="shared" si="9"/>
        <v>1076777.0504244268</v>
      </c>
      <c r="I22" s="52">
        <f t="shared" si="10"/>
        <v>0</v>
      </c>
      <c r="J22" s="52"/>
      <c r="K22" s="115"/>
      <c r="L22" s="54">
        <f t="shared" si="11"/>
        <v>0</v>
      </c>
      <c r="M22" s="115"/>
      <c r="N22" s="54">
        <f t="shared" si="12"/>
        <v>0</v>
      </c>
      <c r="O22" s="54">
        <f t="shared" si="13"/>
        <v>0</v>
      </c>
      <c r="P22" s="1"/>
    </row>
    <row r="23" spans="2:16" ht="12.5">
      <c r="B23" s="7" t="str">
        <f t="shared" si="14"/>
        <v/>
      </c>
      <c r="C23" s="50">
        <f>IF(D11="","-",+C22+1)</f>
        <v>2030</v>
      </c>
      <c r="D23" s="55">
        <f>IF(F22+SUM(E$17:E22)=D$10,F22,D$10-SUM(E$17:E22))</f>
        <v>7208402.3472425994</v>
      </c>
      <c r="E23" s="56">
        <f t="shared" si="6"/>
        <v>217711.17087322273</v>
      </c>
      <c r="F23" s="55">
        <f t="shared" si="7"/>
        <v>6990691.1763693765</v>
      </c>
      <c r="G23" s="57">
        <f t="shared" si="8"/>
        <v>1051217.1699042867</v>
      </c>
      <c r="H23" s="42">
        <f t="shared" si="9"/>
        <v>1051217.1699042867</v>
      </c>
      <c r="I23" s="52">
        <f t="shared" si="10"/>
        <v>0</v>
      </c>
      <c r="J23" s="52"/>
      <c r="K23" s="115"/>
      <c r="L23" s="54">
        <f t="shared" si="11"/>
        <v>0</v>
      </c>
      <c r="M23" s="115"/>
      <c r="N23" s="54">
        <f t="shared" si="12"/>
        <v>0</v>
      </c>
      <c r="O23" s="54">
        <f t="shared" si="13"/>
        <v>0</v>
      </c>
      <c r="P23" s="1"/>
    </row>
    <row r="24" spans="2:16" ht="12.5">
      <c r="B24" s="7" t="str">
        <f t="shared" si="14"/>
        <v/>
      </c>
      <c r="C24" s="50">
        <f>IF(D11="","-",+C23+1)</f>
        <v>2031</v>
      </c>
      <c r="D24" s="55">
        <f>IF(F23+SUM(E$17:E23)=D$10,F23,D$10-SUM(E$17:E23))</f>
        <v>6990691.1763693765</v>
      </c>
      <c r="E24" s="56">
        <f t="shared" si="6"/>
        <v>217711.17087322273</v>
      </c>
      <c r="F24" s="55">
        <f t="shared" si="7"/>
        <v>6772980.0054961536</v>
      </c>
      <c r="G24" s="57">
        <f t="shared" si="8"/>
        <v>1025657.2893841468</v>
      </c>
      <c r="H24" s="42">
        <f t="shared" si="9"/>
        <v>1025657.2893841468</v>
      </c>
      <c r="I24" s="52">
        <f t="shared" si="10"/>
        <v>0</v>
      </c>
      <c r="J24" s="52"/>
      <c r="K24" s="115"/>
      <c r="L24" s="54">
        <f t="shared" si="11"/>
        <v>0</v>
      </c>
      <c r="M24" s="115"/>
      <c r="N24" s="54">
        <f t="shared" si="12"/>
        <v>0</v>
      </c>
      <c r="O24" s="54">
        <f t="shared" si="13"/>
        <v>0</v>
      </c>
      <c r="P24" s="1"/>
    </row>
    <row r="25" spans="2:16" ht="12.5">
      <c r="B25" s="7" t="str">
        <f t="shared" si="14"/>
        <v/>
      </c>
      <c r="C25" s="50">
        <f>IF(D11="","-",+C24+1)</f>
        <v>2032</v>
      </c>
      <c r="D25" s="55">
        <f>IF(F24+SUM(E$17:E24)=D$10,F24,D$10-SUM(E$17:E24))</f>
        <v>6772980.0054961536</v>
      </c>
      <c r="E25" s="56">
        <f t="shared" si="6"/>
        <v>217711.17087322273</v>
      </c>
      <c r="F25" s="55">
        <f t="shared" si="7"/>
        <v>6555268.8346229307</v>
      </c>
      <c r="G25" s="57">
        <f t="shared" si="8"/>
        <v>1000097.4088640066</v>
      </c>
      <c r="H25" s="42">
        <f t="shared" si="9"/>
        <v>1000097.4088640066</v>
      </c>
      <c r="I25" s="52">
        <f t="shared" si="10"/>
        <v>0</v>
      </c>
      <c r="J25" s="52"/>
      <c r="K25" s="115"/>
      <c r="L25" s="54">
        <f t="shared" si="11"/>
        <v>0</v>
      </c>
      <c r="M25" s="115"/>
      <c r="N25" s="54">
        <f t="shared" si="12"/>
        <v>0</v>
      </c>
      <c r="O25" s="54">
        <f t="shared" si="13"/>
        <v>0</v>
      </c>
      <c r="P25" s="1"/>
    </row>
    <row r="26" spans="2:16" ht="12.5">
      <c r="B26" s="7" t="str">
        <f t="shared" si="14"/>
        <v/>
      </c>
      <c r="C26" s="50">
        <f>IF(D11="","-",+C25+1)</f>
        <v>2033</v>
      </c>
      <c r="D26" s="55">
        <f>IF(F25+SUM(E$17:E25)=D$10,F25,D$10-SUM(E$17:E25))</f>
        <v>6555268.8346229307</v>
      </c>
      <c r="E26" s="56">
        <f t="shared" si="6"/>
        <v>217711.17087322273</v>
      </c>
      <c r="F26" s="55">
        <f t="shared" si="7"/>
        <v>6337557.6637497079</v>
      </c>
      <c r="G26" s="57">
        <f t="shared" si="8"/>
        <v>974537.52834386658</v>
      </c>
      <c r="H26" s="42">
        <f t="shared" si="9"/>
        <v>974537.52834386658</v>
      </c>
      <c r="I26" s="52">
        <f t="shared" si="10"/>
        <v>0</v>
      </c>
      <c r="J26" s="52"/>
      <c r="K26" s="115"/>
      <c r="L26" s="54">
        <f t="shared" si="11"/>
        <v>0</v>
      </c>
      <c r="M26" s="115"/>
      <c r="N26" s="54">
        <f t="shared" si="12"/>
        <v>0</v>
      </c>
      <c r="O26" s="54">
        <f t="shared" si="13"/>
        <v>0</v>
      </c>
      <c r="P26" s="1"/>
    </row>
    <row r="27" spans="2:16" ht="12.5">
      <c r="B27" s="7" t="str">
        <f t="shared" si="14"/>
        <v/>
      </c>
      <c r="C27" s="50">
        <f>IF(D11="","-",+C26+1)</f>
        <v>2034</v>
      </c>
      <c r="D27" s="55">
        <f>IF(F26+SUM(E$17:E26)=D$10,F26,D$10-SUM(E$17:E26))</f>
        <v>6337557.6637497079</v>
      </c>
      <c r="E27" s="56">
        <f t="shared" si="6"/>
        <v>217711.17087322273</v>
      </c>
      <c r="F27" s="55">
        <f t="shared" si="7"/>
        <v>6119846.492876485</v>
      </c>
      <c r="G27" s="57">
        <f t="shared" si="8"/>
        <v>948977.64782372653</v>
      </c>
      <c r="H27" s="42">
        <f t="shared" si="9"/>
        <v>948977.64782372653</v>
      </c>
      <c r="I27" s="52">
        <f t="shared" si="10"/>
        <v>0</v>
      </c>
      <c r="J27" s="52"/>
      <c r="K27" s="115"/>
      <c r="L27" s="54">
        <f t="shared" si="11"/>
        <v>0</v>
      </c>
      <c r="M27" s="115"/>
      <c r="N27" s="54">
        <f t="shared" si="12"/>
        <v>0</v>
      </c>
      <c r="O27" s="54">
        <f t="shared" si="13"/>
        <v>0</v>
      </c>
      <c r="P27" s="1"/>
    </row>
    <row r="28" spans="2:16" ht="12.5">
      <c r="B28" s="7" t="str">
        <f t="shared" si="14"/>
        <v/>
      </c>
      <c r="C28" s="50">
        <f>IF(D11="","-",+C27+1)</f>
        <v>2035</v>
      </c>
      <c r="D28" s="55">
        <f>IF(F27+SUM(E$17:E27)=D$10,F27,D$10-SUM(E$17:E27))</f>
        <v>6119846.492876485</v>
      </c>
      <c r="E28" s="56">
        <f t="shared" si="6"/>
        <v>217711.17087322273</v>
      </c>
      <c r="F28" s="55">
        <f t="shared" si="7"/>
        <v>5902135.3220032621</v>
      </c>
      <c r="G28" s="57">
        <f t="shared" si="8"/>
        <v>923417.76730358647</v>
      </c>
      <c r="H28" s="42">
        <f t="shared" si="9"/>
        <v>923417.76730358647</v>
      </c>
      <c r="I28" s="52">
        <f t="shared" si="10"/>
        <v>0</v>
      </c>
      <c r="J28" s="52"/>
      <c r="K28" s="115"/>
      <c r="L28" s="54">
        <f t="shared" si="11"/>
        <v>0</v>
      </c>
      <c r="M28" s="115"/>
      <c r="N28" s="54">
        <f t="shared" si="12"/>
        <v>0</v>
      </c>
      <c r="O28" s="54">
        <f t="shared" si="13"/>
        <v>0</v>
      </c>
      <c r="P28" s="1"/>
    </row>
    <row r="29" spans="2:16" ht="12.5">
      <c r="B29" s="7" t="str">
        <f t="shared" si="14"/>
        <v/>
      </c>
      <c r="C29" s="50">
        <f>IF(D11="","-",+C28+1)</f>
        <v>2036</v>
      </c>
      <c r="D29" s="55">
        <f>IF(F28+SUM(E$17:E28)=D$10,F28,D$10-SUM(E$17:E28))</f>
        <v>5902135.3220032621</v>
      </c>
      <c r="E29" s="56">
        <f t="shared" si="6"/>
        <v>217711.17087322273</v>
      </c>
      <c r="F29" s="55">
        <f t="shared" si="7"/>
        <v>5684424.1511300392</v>
      </c>
      <c r="G29" s="57">
        <f t="shared" si="8"/>
        <v>897857.88678344642</v>
      </c>
      <c r="H29" s="42">
        <f t="shared" si="9"/>
        <v>897857.88678344642</v>
      </c>
      <c r="I29" s="52">
        <f t="shared" si="10"/>
        <v>0</v>
      </c>
      <c r="J29" s="52"/>
      <c r="K29" s="115"/>
      <c r="L29" s="54">
        <f t="shared" si="11"/>
        <v>0</v>
      </c>
      <c r="M29" s="115"/>
      <c r="N29" s="54">
        <f t="shared" si="12"/>
        <v>0</v>
      </c>
      <c r="O29" s="54">
        <f t="shared" si="13"/>
        <v>0</v>
      </c>
      <c r="P29" s="1"/>
    </row>
    <row r="30" spans="2:16" ht="12.5">
      <c r="B30" s="7" t="str">
        <f t="shared" si="14"/>
        <v/>
      </c>
      <c r="C30" s="50">
        <f>IF(D11="","-",+C29+1)</f>
        <v>2037</v>
      </c>
      <c r="D30" s="55">
        <f>IF(F29+SUM(E$17:E29)=D$10,F29,D$10-SUM(E$17:E29))</f>
        <v>5684424.1511300392</v>
      </c>
      <c r="E30" s="56">
        <f t="shared" si="6"/>
        <v>217711.17087322273</v>
      </c>
      <c r="F30" s="55">
        <f t="shared" si="7"/>
        <v>5466712.9802568164</v>
      </c>
      <c r="G30" s="57">
        <f t="shared" si="8"/>
        <v>872298.00626330636</v>
      </c>
      <c r="H30" s="42">
        <f t="shared" si="9"/>
        <v>872298.00626330636</v>
      </c>
      <c r="I30" s="52">
        <f t="shared" si="10"/>
        <v>0</v>
      </c>
      <c r="J30" s="52"/>
      <c r="K30" s="115"/>
      <c r="L30" s="54">
        <f t="shared" si="11"/>
        <v>0</v>
      </c>
      <c r="M30" s="115"/>
      <c r="N30" s="54">
        <f t="shared" si="12"/>
        <v>0</v>
      </c>
      <c r="O30" s="54">
        <f t="shared" si="13"/>
        <v>0</v>
      </c>
      <c r="P30" s="1"/>
    </row>
    <row r="31" spans="2:16" ht="12.5">
      <c r="B31" s="7" t="str">
        <f t="shared" si="14"/>
        <v/>
      </c>
      <c r="C31" s="50">
        <f>IF(D11="","-",+C30+1)</f>
        <v>2038</v>
      </c>
      <c r="D31" s="55">
        <f>IF(F30+SUM(E$17:E30)=D$10,F30,D$10-SUM(E$17:E30))</f>
        <v>5466712.9802568164</v>
      </c>
      <c r="E31" s="56">
        <f t="shared" si="6"/>
        <v>217711.17087322273</v>
      </c>
      <c r="F31" s="55">
        <f t="shared" si="7"/>
        <v>5249001.8093835935</v>
      </c>
      <c r="G31" s="57">
        <f t="shared" si="8"/>
        <v>846738.12574316631</v>
      </c>
      <c r="H31" s="42">
        <f t="shared" si="9"/>
        <v>846738.12574316631</v>
      </c>
      <c r="I31" s="52">
        <f t="shared" si="10"/>
        <v>0</v>
      </c>
      <c r="J31" s="52"/>
      <c r="K31" s="115"/>
      <c r="L31" s="54">
        <f t="shared" si="11"/>
        <v>0</v>
      </c>
      <c r="M31" s="115"/>
      <c r="N31" s="54">
        <f t="shared" si="12"/>
        <v>0</v>
      </c>
      <c r="O31" s="54">
        <f t="shared" si="13"/>
        <v>0</v>
      </c>
      <c r="P31" s="1"/>
    </row>
    <row r="32" spans="2:16" ht="12.5">
      <c r="B32" s="7" t="str">
        <f t="shared" si="14"/>
        <v/>
      </c>
      <c r="C32" s="50">
        <f>IF(D11="","-",+C31+1)</f>
        <v>2039</v>
      </c>
      <c r="D32" s="55">
        <f>IF(F31+SUM(E$17:E31)=D$10,F31,D$10-SUM(E$17:E31))</f>
        <v>5249001.8093835935</v>
      </c>
      <c r="E32" s="56">
        <f t="shared" si="6"/>
        <v>217711.17087322273</v>
      </c>
      <c r="F32" s="55">
        <f t="shared" si="7"/>
        <v>5031290.6385103706</v>
      </c>
      <c r="G32" s="57">
        <f t="shared" si="8"/>
        <v>821178.24522302626</v>
      </c>
      <c r="H32" s="42">
        <f t="shared" si="9"/>
        <v>821178.24522302626</v>
      </c>
      <c r="I32" s="52">
        <f t="shared" si="10"/>
        <v>0</v>
      </c>
      <c r="J32" s="52"/>
      <c r="K32" s="115"/>
      <c r="L32" s="54">
        <f t="shared" si="11"/>
        <v>0</v>
      </c>
      <c r="M32" s="115"/>
      <c r="N32" s="54">
        <f t="shared" si="12"/>
        <v>0</v>
      </c>
      <c r="O32" s="54">
        <f t="shared" si="13"/>
        <v>0</v>
      </c>
      <c r="P32" s="1"/>
    </row>
    <row r="33" spans="2:16" ht="12.5">
      <c r="B33" s="7" t="str">
        <f t="shared" si="14"/>
        <v/>
      </c>
      <c r="C33" s="50">
        <f>IF(D11="","-",+C32+1)</f>
        <v>2040</v>
      </c>
      <c r="D33" s="55">
        <f>IF(F32+SUM(E$17:E32)=D$10,F32,D$10-SUM(E$17:E32))</f>
        <v>5031290.6385103706</v>
      </c>
      <c r="E33" s="56">
        <f t="shared" si="6"/>
        <v>217711.17087322273</v>
      </c>
      <c r="F33" s="55">
        <f t="shared" si="7"/>
        <v>4813579.4676371478</v>
      </c>
      <c r="G33" s="57">
        <f t="shared" si="8"/>
        <v>795618.3647028862</v>
      </c>
      <c r="H33" s="42">
        <f t="shared" si="9"/>
        <v>795618.3647028862</v>
      </c>
      <c r="I33" s="52">
        <f t="shared" si="10"/>
        <v>0</v>
      </c>
      <c r="J33" s="52"/>
      <c r="K33" s="115"/>
      <c r="L33" s="54">
        <f t="shared" si="11"/>
        <v>0</v>
      </c>
      <c r="M33" s="115"/>
      <c r="N33" s="54">
        <f t="shared" si="12"/>
        <v>0</v>
      </c>
      <c r="O33" s="54">
        <f t="shared" si="13"/>
        <v>0</v>
      </c>
      <c r="P33" s="1"/>
    </row>
    <row r="34" spans="2:16" ht="12.5">
      <c r="B34" s="7" t="str">
        <f t="shared" si="14"/>
        <v/>
      </c>
      <c r="C34" s="50">
        <f>IF(D11="","-",+C33+1)</f>
        <v>2041</v>
      </c>
      <c r="D34" s="55">
        <f>IF(F33+SUM(E$17:E33)=D$10,F33,D$10-SUM(E$17:E33))</f>
        <v>4813579.4676371478</v>
      </c>
      <c r="E34" s="56">
        <f t="shared" si="6"/>
        <v>217711.17087322273</v>
      </c>
      <c r="F34" s="55">
        <f t="shared" si="7"/>
        <v>4595868.2967639249</v>
      </c>
      <c r="G34" s="57">
        <f t="shared" si="8"/>
        <v>770058.48418274615</v>
      </c>
      <c r="H34" s="42">
        <f t="shared" si="9"/>
        <v>770058.48418274615</v>
      </c>
      <c r="I34" s="52">
        <f t="shared" si="10"/>
        <v>0</v>
      </c>
      <c r="J34" s="52"/>
      <c r="K34" s="115"/>
      <c r="L34" s="54">
        <f t="shared" si="11"/>
        <v>0</v>
      </c>
      <c r="M34" s="115"/>
      <c r="N34" s="54">
        <f t="shared" si="12"/>
        <v>0</v>
      </c>
      <c r="O34" s="54">
        <f t="shared" si="13"/>
        <v>0</v>
      </c>
      <c r="P34" s="1"/>
    </row>
    <row r="35" spans="2:16" ht="12.5">
      <c r="B35" s="7" t="str">
        <f t="shared" si="14"/>
        <v/>
      </c>
      <c r="C35" s="50">
        <f>IF(D11="","-",+C34+1)</f>
        <v>2042</v>
      </c>
      <c r="D35" s="55">
        <f>IF(F34+SUM(E$17:E34)=D$10,F34,D$10-SUM(E$17:E34))</f>
        <v>4595868.2967639249</v>
      </c>
      <c r="E35" s="56">
        <f t="shared" si="6"/>
        <v>217711.17087322273</v>
      </c>
      <c r="F35" s="55">
        <f t="shared" si="7"/>
        <v>4378157.125890702</v>
      </c>
      <c r="G35" s="57">
        <f t="shared" si="8"/>
        <v>744498.6036626061</v>
      </c>
      <c r="H35" s="42">
        <f t="shared" si="9"/>
        <v>744498.6036626061</v>
      </c>
      <c r="I35" s="52">
        <f t="shared" si="10"/>
        <v>0</v>
      </c>
      <c r="J35" s="52"/>
      <c r="K35" s="115"/>
      <c r="L35" s="54">
        <f t="shared" si="11"/>
        <v>0</v>
      </c>
      <c r="M35" s="115"/>
      <c r="N35" s="54">
        <f t="shared" si="12"/>
        <v>0</v>
      </c>
      <c r="O35" s="54">
        <f t="shared" si="13"/>
        <v>0</v>
      </c>
      <c r="P35" s="1"/>
    </row>
    <row r="36" spans="2:16" ht="12.5">
      <c r="B36" s="7" t="str">
        <f t="shared" si="14"/>
        <v/>
      </c>
      <c r="C36" s="50">
        <f>IF(D11="","-",+C35+1)</f>
        <v>2043</v>
      </c>
      <c r="D36" s="55">
        <f>IF(F35+SUM(E$17:E35)=D$10,F35,D$10-SUM(E$17:E35))</f>
        <v>4378157.125890702</v>
      </c>
      <c r="E36" s="56">
        <f t="shared" si="6"/>
        <v>217711.17087322273</v>
      </c>
      <c r="F36" s="55">
        <f t="shared" si="7"/>
        <v>4160445.9550174791</v>
      </c>
      <c r="G36" s="57">
        <f t="shared" si="8"/>
        <v>718938.72314246593</v>
      </c>
      <c r="H36" s="42">
        <f t="shared" si="9"/>
        <v>718938.72314246593</v>
      </c>
      <c r="I36" s="52">
        <f t="shared" si="10"/>
        <v>0</v>
      </c>
      <c r="J36" s="52"/>
      <c r="K36" s="115"/>
      <c r="L36" s="54">
        <f t="shared" si="11"/>
        <v>0</v>
      </c>
      <c r="M36" s="115"/>
      <c r="N36" s="54">
        <f t="shared" si="12"/>
        <v>0</v>
      </c>
      <c r="O36" s="54">
        <f t="shared" si="13"/>
        <v>0</v>
      </c>
      <c r="P36" s="1"/>
    </row>
    <row r="37" spans="2:16" ht="12.5">
      <c r="B37" s="7" t="str">
        <f t="shared" si="14"/>
        <v/>
      </c>
      <c r="C37" s="50">
        <f>IF(D11="","-",+C36+1)</f>
        <v>2044</v>
      </c>
      <c r="D37" s="55">
        <f>IF(F36+SUM(E$17:E36)=D$10,F36,D$10-SUM(E$17:E36))</f>
        <v>4160445.9550174791</v>
      </c>
      <c r="E37" s="56">
        <f t="shared" si="6"/>
        <v>217711.17087322273</v>
      </c>
      <c r="F37" s="55">
        <f t="shared" si="7"/>
        <v>3942734.7841442563</v>
      </c>
      <c r="G37" s="57">
        <f t="shared" si="8"/>
        <v>693378.84262232587</v>
      </c>
      <c r="H37" s="42">
        <f t="shared" si="9"/>
        <v>693378.84262232587</v>
      </c>
      <c r="I37" s="52">
        <f t="shared" si="10"/>
        <v>0</v>
      </c>
      <c r="J37" s="52"/>
      <c r="K37" s="115"/>
      <c r="L37" s="54">
        <f t="shared" si="11"/>
        <v>0</v>
      </c>
      <c r="M37" s="115"/>
      <c r="N37" s="54">
        <f t="shared" si="12"/>
        <v>0</v>
      </c>
      <c r="O37" s="54">
        <f t="shared" si="13"/>
        <v>0</v>
      </c>
      <c r="P37" s="1"/>
    </row>
    <row r="38" spans="2:16" ht="12.5">
      <c r="B38" s="7" t="str">
        <f t="shared" si="14"/>
        <v/>
      </c>
      <c r="C38" s="50">
        <f>IF(D11="","-",+C37+1)</f>
        <v>2045</v>
      </c>
      <c r="D38" s="55">
        <f>IF(F37+SUM(E$17:E37)=D$10,F37,D$10-SUM(E$17:E37))</f>
        <v>3942734.7841442563</v>
      </c>
      <c r="E38" s="56">
        <f t="shared" si="6"/>
        <v>217711.17087322273</v>
      </c>
      <c r="F38" s="55">
        <f t="shared" si="7"/>
        <v>3725023.6132710334</v>
      </c>
      <c r="G38" s="57">
        <f t="shared" si="8"/>
        <v>667818.96210218582</v>
      </c>
      <c r="H38" s="42">
        <f t="shared" si="9"/>
        <v>667818.96210218582</v>
      </c>
      <c r="I38" s="52">
        <f t="shared" si="10"/>
        <v>0</v>
      </c>
      <c r="J38" s="52"/>
      <c r="K38" s="115"/>
      <c r="L38" s="54">
        <f t="shared" si="11"/>
        <v>0</v>
      </c>
      <c r="M38" s="115"/>
      <c r="N38" s="54">
        <f t="shared" si="12"/>
        <v>0</v>
      </c>
      <c r="O38" s="54">
        <f t="shared" si="13"/>
        <v>0</v>
      </c>
      <c r="P38" s="1"/>
    </row>
    <row r="39" spans="2:16" ht="12.5">
      <c r="B39" s="7" t="str">
        <f t="shared" si="14"/>
        <v/>
      </c>
      <c r="C39" s="50">
        <f>IF(D11="","-",+C38+1)</f>
        <v>2046</v>
      </c>
      <c r="D39" s="55">
        <f>IF(F38+SUM(E$17:E38)=D$10,F38,D$10-SUM(E$17:E38))</f>
        <v>3725023.6132710334</v>
      </c>
      <c r="E39" s="56">
        <f t="shared" si="6"/>
        <v>217711.17087322273</v>
      </c>
      <c r="F39" s="55">
        <f t="shared" si="7"/>
        <v>3507312.4423978105</v>
      </c>
      <c r="G39" s="57">
        <f t="shared" si="8"/>
        <v>642259.08158204576</v>
      </c>
      <c r="H39" s="42">
        <f t="shared" si="9"/>
        <v>642259.08158204576</v>
      </c>
      <c r="I39" s="52">
        <f t="shared" si="10"/>
        <v>0</v>
      </c>
      <c r="J39" s="52"/>
      <c r="K39" s="115"/>
      <c r="L39" s="54">
        <f t="shared" si="11"/>
        <v>0</v>
      </c>
      <c r="M39" s="115"/>
      <c r="N39" s="54">
        <f t="shared" si="12"/>
        <v>0</v>
      </c>
      <c r="O39" s="54">
        <f t="shared" si="13"/>
        <v>0</v>
      </c>
      <c r="P39" s="1"/>
    </row>
    <row r="40" spans="2:16" ht="12.5">
      <c r="B40" s="7" t="str">
        <f t="shared" si="14"/>
        <v/>
      </c>
      <c r="C40" s="50">
        <f>IF(D11="","-",+C39+1)</f>
        <v>2047</v>
      </c>
      <c r="D40" s="55">
        <f>IF(F39+SUM(E$17:E39)=D$10,F39,D$10-SUM(E$17:E39))</f>
        <v>3507312.4423978105</v>
      </c>
      <c r="E40" s="56">
        <f t="shared" si="6"/>
        <v>217711.17087322273</v>
      </c>
      <c r="F40" s="55">
        <f t="shared" si="7"/>
        <v>3289601.2715245876</v>
      </c>
      <c r="G40" s="57">
        <f t="shared" si="8"/>
        <v>616699.20106190571</v>
      </c>
      <c r="H40" s="42">
        <f t="shared" si="9"/>
        <v>616699.20106190571</v>
      </c>
      <c r="I40" s="52">
        <f t="shared" si="10"/>
        <v>0</v>
      </c>
      <c r="J40" s="52"/>
      <c r="K40" s="115"/>
      <c r="L40" s="54">
        <f t="shared" si="11"/>
        <v>0</v>
      </c>
      <c r="M40" s="115"/>
      <c r="N40" s="54">
        <f t="shared" si="12"/>
        <v>0</v>
      </c>
      <c r="O40" s="54">
        <f t="shared" si="13"/>
        <v>0</v>
      </c>
      <c r="P40" s="1"/>
    </row>
    <row r="41" spans="2:16" ht="12.5">
      <c r="B41" s="7" t="str">
        <f t="shared" si="14"/>
        <v/>
      </c>
      <c r="C41" s="50">
        <f>IF(D11="","-",+C40+1)</f>
        <v>2048</v>
      </c>
      <c r="D41" s="55">
        <f>IF(F40+SUM(E$17:E40)=D$10,F40,D$10-SUM(E$17:E40))</f>
        <v>3289601.2715245876</v>
      </c>
      <c r="E41" s="56">
        <f t="shared" si="6"/>
        <v>217711.17087322273</v>
      </c>
      <c r="F41" s="55">
        <f t="shared" si="7"/>
        <v>3071890.1006513648</v>
      </c>
      <c r="G41" s="57">
        <f t="shared" si="8"/>
        <v>591139.32054176566</v>
      </c>
      <c r="H41" s="42">
        <f t="shared" si="9"/>
        <v>591139.32054176566</v>
      </c>
      <c r="I41" s="52">
        <f t="shared" si="10"/>
        <v>0</v>
      </c>
      <c r="J41" s="52"/>
      <c r="K41" s="115"/>
      <c r="L41" s="54">
        <f t="shared" si="11"/>
        <v>0</v>
      </c>
      <c r="M41" s="115"/>
      <c r="N41" s="54">
        <f t="shared" si="12"/>
        <v>0</v>
      </c>
      <c r="O41" s="54">
        <f t="shared" si="13"/>
        <v>0</v>
      </c>
      <c r="P41" s="1"/>
    </row>
    <row r="42" spans="2:16" ht="12.5">
      <c r="B42" s="7" t="str">
        <f t="shared" si="14"/>
        <v/>
      </c>
      <c r="C42" s="50">
        <f>IF(D11="","-",+C41+1)</f>
        <v>2049</v>
      </c>
      <c r="D42" s="55">
        <f>IF(F41+SUM(E$17:E41)=D$10,F41,D$10-SUM(E$17:E41))</f>
        <v>3071890.1006513648</v>
      </c>
      <c r="E42" s="56">
        <f t="shared" si="6"/>
        <v>217711.17087322273</v>
      </c>
      <c r="F42" s="55">
        <f t="shared" si="7"/>
        <v>2854178.9297781419</v>
      </c>
      <c r="G42" s="57">
        <f t="shared" si="8"/>
        <v>565579.4400216256</v>
      </c>
      <c r="H42" s="42">
        <f t="shared" si="9"/>
        <v>565579.4400216256</v>
      </c>
      <c r="I42" s="52">
        <f t="shared" si="10"/>
        <v>0</v>
      </c>
      <c r="J42" s="52"/>
      <c r="K42" s="115"/>
      <c r="L42" s="54">
        <f t="shared" si="11"/>
        <v>0</v>
      </c>
      <c r="M42" s="115"/>
      <c r="N42" s="54">
        <f t="shared" si="12"/>
        <v>0</v>
      </c>
      <c r="O42" s="54">
        <f t="shared" si="13"/>
        <v>0</v>
      </c>
      <c r="P42" s="1"/>
    </row>
    <row r="43" spans="2:16" ht="12.5">
      <c r="B43" s="7" t="str">
        <f t="shared" si="14"/>
        <v/>
      </c>
      <c r="C43" s="50">
        <f>IF(D11="","-",+C42+1)</f>
        <v>2050</v>
      </c>
      <c r="D43" s="55">
        <f>IF(F42+SUM(E$17:E42)=D$10,F42,D$10-SUM(E$17:E42))</f>
        <v>2854178.9297781419</v>
      </c>
      <c r="E43" s="56">
        <f t="shared" si="6"/>
        <v>217711.17087322273</v>
      </c>
      <c r="F43" s="55">
        <f t="shared" si="7"/>
        <v>2636467.758904919</v>
      </c>
      <c r="G43" s="57">
        <f t="shared" si="8"/>
        <v>540019.55950148555</v>
      </c>
      <c r="H43" s="42">
        <f t="shared" si="9"/>
        <v>540019.55950148555</v>
      </c>
      <c r="I43" s="52">
        <f t="shared" si="10"/>
        <v>0</v>
      </c>
      <c r="J43" s="52"/>
      <c r="K43" s="115"/>
      <c r="L43" s="54">
        <f t="shared" si="11"/>
        <v>0</v>
      </c>
      <c r="M43" s="115"/>
      <c r="N43" s="54">
        <f t="shared" si="12"/>
        <v>0</v>
      </c>
      <c r="O43" s="54">
        <f t="shared" si="13"/>
        <v>0</v>
      </c>
      <c r="P43" s="1"/>
    </row>
    <row r="44" spans="2:16" ht="12.5">
      <c r="B44" s="7" t="str">
        <f t="shared" si="14"/>
        <v/>
      </c>
      <c r="C44" s="50">
        <f>IF(D11="","-",+C43+1)</f>
        <v>2051</v>
      </c>
      <c r="D44" s="55">
        <f>IF(F43+SUM(E$17:E43)=D$10,F43,D$10-SUM(E$17:E43))</f>
        <v>2636467.758904919</v>
      </c>
      <c r="E44" s="56">
        <f t="shared" si="6"/>
        <v>217711.17087322273</v>
      </c>
      <c r="F44" s="55">
        <f t="shared" si="7"/>
        <v>2418756.5880316962</v>
      </c>
      <c r="G44" s="57">
        <f t="shared" si="8"/>
        <v>514459.6789813455</v>
      </c>
      <c r="H44" s="42">
        <f t="shared" si="9"/>
        <v>514459.6789813455</v>
      </c>
      <c r="I44" s="52">
        <f t="shared" si="10"/>
        <v>0</v>
      </c>
      <c r="J44" s="52"/>
      <c r="K44" s="115"/>
      <c r="L44" s="54">
        <f t="shared" si="11"/>
        <v>0</v>
      </c>
      <c r="M44" s="115"/>
      <c r="N44" s="54">
        <f t="shared" si="12"/>
        <v>0</v>
      </c>
      <c r="O44" s="54">
        <f t="shared" si="13"/>
        <v>0</v>
      </c>
      <c r="P44" s="1"/>
    </row>
    <row r="45" spans="2:16" ht="12.5">
      <c r="B45" s="7" t="str">
        <f t="shared" si="14"/>
        <v/>
      </c>
      <c r="C45" s="50">
        <f>IF(D11="","-",+C44+1)</f>
        <v>2052</v>
      </c>
      <c r="D45" s="55">
        <f>IF(F44+SUM(E$17:E44)=D$10,F44,D$10-SUM(E$17:E44))</f>
        <v>2418756.5880316962</v>
      </c>
      <c r="E45" s="56">
        <f t="shared" si="6"/>
        <v>217711.17087322273</v>
      </c>
      <c r="F45" s="55">
        <f t="shared" si="7"/>
        <v>2201045.4171584733</v>
      </c>
      <c r="G45" s="57">
        <f t="shared" si="8"/>
        <v>488899.79846120544</v>
      </c>
      <c r="H45" s="42">
        <f t="shared" si="9"/>
        <v>488899.79846120544</v>
      </c>
      <c r="I45" s="52">
        <f t="shared" si="10"/>
        <v>0</v>
      </c>
      <c r="J45" s="52"/>
      <c r="K45" s="115"/>
      <c r="L45" s="54">
        <f t="shared" si="11"/>
        <v>0</v>
      </c>
      <c r="M45" s="115"/>
      <c r="N45" s="54">
        <f t="shared" si="12"/>
        <v>0</v>
      </c>
      <c r="O45" s="54">
        <f t="shared" si="13"/>
        <v>0</v>
      </c>
      <c r="P45" s="1"/>
    </row>
    <row r="46" spans="2:16" ht="12.5">
      <c r="B46" s="7" t="str">
        <f t="shared" si="14"/>
        <v/>
      </c>
      <c r="C46" s="50">
        <f>IF(D11="","-",+C45+1)</f>
        <v>2053</v>
      </c>
      <c r="D46" s="55">
        <f>IF(F45+SUM(E$17:E45)=D$10,F45,D$10-SUM(E$17:E45))</f>
        <v>2201045.4171584733</v>
      </c>
      <c r="E46" s="56">
        <f t="shared" si="6"/>
        <v>217711.17087322273</v>
      </c>
      <c r="F46" s="55">
        <f t="shared" si="7"/>
        <v>1983334.2462852506</v>
      </c>
      <c r="G46" s="57">
        <f t="shared" si="8"/>
        <v>463339.91794106539</v>
      </c>
      <c r="H46" s="42">
        <f t="shared" si="9"/>
        <v>463339.91794106539</v>
      </c>
      <c r="I46" s="52">
        <f t="shared" si="10"/>
        <v>0</v>
      </c>
      <c r="J46" s="52"/>
      <c r="K46" s="115"/>
      <c r="L46" s="54">
        <f t="shared" si="11"/>
        <v>0</v>
      </c>
      <c r="M46" s="115"/>
      <c r="N46" s="54">
        <f t="shared" si="12"/>
        <v>0</v>
      </c>
      <c r="O46" s="54">
        <f t="shared" si="13"/>
        <v>0</v>
      </c>
      <c r="P46" s="1"/>
    </row>
    <row r="47" spans="2:16" ht="12.5">
      <c r="B47" s="7" t="str">
        <f t="shared" si="14"/>
        <v/>
      </c>
      <c r="C47" s="50">
        <f>IF(D11="","-",+C46+1)</f>
        <v>2054</v>
      </c>
      <c r="D47" s="55">
        <f>IF(F46+SUM(E$17:E46)=D$10,F46,D$10-SUM(E$17:E46))</f>
        <v>1983334.2462852506</v>
      </c>
      <c r="E47" s="56">
        <f t="shared" si="6"/>
        <v>217711.17087322273</v>
      </c>
      <c r="F47" s="55">
        <f t="shared" si="7"/>
        <v>1765623.075412028</v>
      </c>
      <c r="G47" s="57">
        <f t="shared" si="8"/>
        <v>437780.03742092534</v>
      </c>
      <c r="H47" s="42">
        <f t="shared" si="9"/>
        <v>437780.03742092534</v>
      </c>
      <c r="I47" s="52">
        <f t="shared" si="10"/>
        <v>0</v>
      </c>
      <c r="J47" s="52"/>
      <c r="K47" s="115"/>
      <c r="L47" s="54">
        <f t="shared" si="11"/>
        <v>0</v>
      </c>
      <c r="M47" s="115"/>
      <c r="N47" s="54">
        <f t="shared" si="12"/>
        <v>0</v>
      </c>
      <c r="O47" s="54">
        <f t="shared" si="13"/>
        <v>0</v>
      </c>
      <c r="P47" s="1"/>
    </row>
    <row r="48" spans="2:16" ht="12.5">
      <c r="B48" s="7" t="str">
        <f t="shared" si="14"/>
        <v/>
      </c>
      <c r="C48" s="50">
        <f>IF(D11="","-",+C47+1)</f>
        <v>2055</v>
      </c>
      <c r="D48" s="55">
        <f>IF(F47+SUM(E$17:E47)=D$10,F47,D$10-SUM(E$17:E47))</f>
        <v>1765623.075412028</v>
      </c>
      <c r="E48" s="56">
        <f t="shared" si="6"/>
        <v>217711.17087322273</v>
      </c>
      <c r="F48" s="55">
        <f t="shared" si="7"/>
        <v>1547911.9045388054</v>
      </c>
      <c r="G48" s="57">
        <f t="shared" si="8"/>
        <v>412220.15690078528</v>
      </c>
      <c r="H48" s="42">
        <f t="shared" si="9"/>
        <v>412220.15690078528</v>
      </c>
      <c r="I48" s="52">
        <f t="shared" si="10"/>
        <v>0</v>
      </c>
      <c r="J48" s="52"/>
      <c r="K48" s="115"/>
      <c r="L48" s="54">
        <f t="shared" si="11"/>
        <v>0</v>
      </c>
      <c r="M48" s="115"/>
      <c r="N48" s="54">
        <f t="shared" si="12"/>
        <v>0</v>
      </c>
      <c r="O48" s="54">
        <f t="shared" si="13"/>
        <v>0</v>
      </c>
      <c r="P48" s="1"/>
    </row>
    <row r="49" spans="2:22" ht="12.5">
      <c r="B49" s="7" t="str">
        <f t="shared" si="14"/>
        <v/>
      </c>
      <c r="C49" s="50">
        <f>IF(D11="","-",+C48+1)</f>
        <v>2056</v>
      </c>
      <c r="D49" s="55">
        <f>IF(F48+SUM(E$17:E48)=D$10,F48,D$10-SUM(E$17:E48))</f>
        <v>1547911.9045388054</v>
      </c>
      <c r="E49" s="56">
        <f t="shared" si="6"/>
        <v>217711.17087322273</v>
      </c>
      <c r="F49" s="55">
        <f t="shared" si="7"/>
        <v>1330200.7336655827</v>
      </c>
      <c r="G49" s="57">
        <f t="shared" si="8"/>
        <v>386660.27638064529</v>
      </c>
      <c r="H49" s="42">
        <f t="shared" si="9"/>
        <v>386660.27638064529</v>
      </c>
      <c r="I49" s="52">
        <f t="shared" si="10"/>
        <v>0</v>
      </c>
      <c r="J49" s="52"/>
      <c r="K49" s="115"/>
      <c r="L49" s="54">
        <f t="shared" si="11"/>
        <v>0</v>
      </c>
      <c r="M49" s="115"/>
      <c r="N49" s="54">
        <f t="shared" si="12"/>
        <v>0</v>
      </c>
      <c r="O49" s="54">
        <f t="shared" si="13"/>
        <v>0</v>
      </c>
      <c r="P49" s="1"/>
    </row>
    <row r="50" spans="2:22" ht="12.5">
      <c r="B50" s="7" t="str">
        <f t="shared" si="14"/>
        <v/>
      </c>
      <c r="C50" s="50">
        <f>IF(D11="","-",+C49+1)</f>
        <v>2057</v>
      </c>
      <c r="D50" s="55">
        <f>IF(F49+SUM(E$17:E49)=D$10,F49,D$10-SUM(E$17:E49))</f>
        <v>1330200.7336655827</v>
      </c>
      <c r="E50" s="56">
        <f t="shared" si="6"/>
        <v>217711.17087322273</v>
      </c>
      <c r="F50" s="55">
        <f t="shared" si="7"/>
        <v>1112489.5627923601</v>
      </c>
      <c r="G50" s="57">
        <f t="shared" si="8"/>
        <v>361100.39586050523</v>
      </c>
      <c r="H50" s="42">
        <f t="shared" si="9"/>
        <v>361100.39586050523</v>
      </c>
      <c r="I50" s="52">
        <f t="shared" si="10"/>
        <v>0</v>
      </c>
      <c r="J50" s="52"/>
      <c r="K50" s="115"/>
      <c r="L50" s="54">
        <f t="shared" si="11"/>
        <v>0</v>
      </c>
      <c r="M50" s="115"/>
      <c r="N50" s="54">
        <f t="shared" si="12"/>
        <v>0</v>
      </c>
      <c r="O50" s="54">
        <f t="shared" si="13"/>
        <v>0</v>
      </c>
      <c r="P50" s="1"/>
    </row>
    <row r="51" spans="2:22" ht="12.5">
      <c r="B51" s="7" t="str">
        <f t="shared" si="14"/>
        <v/>
      </c>
      <c r="C51" s="50">
        <f>IF(D11="","-",+C50+1)</f>
        <v>2058</v>
      </c>
      <c r="D51" s="55">
        <f>IF(F50+SUM(E$17:E50)=D$10,F50,D$10-SUM(E$17:E50))</f>
        <v>1112489.5627923601</v>
      </c>
      <c r="E51" s="56">
        <f t="shared" si="6"/>
        <v>217711.17087322273</v>
      </c>
      <c r="F51" s="55">
        <f t="shared" si="7"/>
        <v>894778.39191913733</v>
      </c>
      <c r="G51" s="57">
        <f t="shared" si="8"/>
        <v>335540.51534036518</v>
      </c>
      <c r="H51" s="42">
        <f t="shared" si="9"/>
        <v>335540.51534036518</v>
      </c>
      <c r="I51" s="52">
        <f t="shared" si="10"/>
        <v>0</v>
      </c>
      <c r="J51" s="52"/>
      <c r="K51" s="115"/>
      <c r="L51" s="54">
        <f t="shared" si="11"/>
        <v>0</v>
      </c>
      <c r="M51" s="115"/>
      <c r="N51" s="54">
        <f t="shared" si="12"/>
        <v>0</v>
      </c>
      <c r="O51" s="54">
        <f t="shared" si="13"/>
        <v>0</v>
      </c>
      <c r="P51" s="1"/>
      <c r="V51" t="s">
        <v>455</v>
      </c>
    </row>
    <row r="52" spans="2:22" ht="12.5">
      <c r="B52" s="7" t="str">
        <f t="shared" si="14"/>
        <v/>
      </c>
      <c r="C52" s="50">
        <f>IF(D11="","-",+C51+1)</f>
        <v>2059</v>
      </c>
      <c r="D52" s="55">
        <f>IF(F51+SUM(E$17:E51)=D$10,F51,D$10-SUM(E$17:E51))</f>
        <v>894778.39191913733</v>
      </c>
      <c r="E52" s="56">
        <f t="shared" si="6"/>
        <v>217711.17087322273</v>
      </c>
      <c r="F52" s="55">
        <f t="shared" si="7"/>
        <v>677067.22104591457</v>
      </c>
      <c r="G52" s="57">
        <f t="shared" si="8"/>
        <v>309980.63482022518</v>
      </c>
      <c r="H52" s="42">
        <f t="shared" si="9"/>
        <v>309980.63482022518</v>
      </c>
      <c r="I52" s="52">
        <f t="shared" si="10"/>
        <v>0</v>
      </c>
      <c r="J52" s="52"/>
      <c r="K52" s="115"/>
      <c r="L52" s="54">
        <f t="shared" si="11"/>
        <v>0</v>
      </c>
      <c r="M52" s="115"/>
      <c r="N52" s="54">
        <f t="shared" si="12"/>
        <v>0</v>
      </c>
      <c r="O52" s="54">
        <f t="shared" si="13"/>
        <v>0</v>
      </c>
      <c r="P52" s="1"/>
    </row>
    <row r="53" spans="2:22" ht="12.5">
      <c r="B53" s="7" t="str">
        <f t="shared" si="14"/>
        <v/>
      </c>
      <c r="C53" s="50">
        <f>IF(D11="","-",+C52+1)</f>
        <v>2060</v>
      </c>
      <c r="D53" s="55">
        <f>IF(F52+SUM(E$17:E52)=D$10,F52,D$10-SUM(E$17:E52))</f>
        <v>677067.22104591457</v>
      </c>
      <c r="E53" s="56">
        <f t="shared" si="6"/>
        <v>217711.17087322273</v>
      </c>
      <c r="F53" s="55">
        <f t="shared" si="7"/>
        <v>459356.05017269182</v>
      </c>
      <c r="G53" s="57">
        <f t="shared" si="8"/>
        <v>284420.75430008513</v>
      </c>
      <c r="H53" s="42">
        <f t="shared" si="9"/>
        <v>284420.75430008513</v>
      </c>
      <c r="I53" s="52">
        <f t="shared" si="10"/>
        <v>0</v>
      </c>
      <c r="J53" s="52"/>
      <c r="K53" s="115"/>
      <c r="L53" s="54">
        <f t="shared" si="11"/>
        <v>0</v>
      </c>
      <c r="M53" s="115"/>
      <c r="N53" s="54">
        <f t="shared" si="12"/>
        <v>0</v>
      </c>
      <c r="O53" s="54">
        <f t="shared" si="13"/>
        <v>0</v>
      </c>
      <c r="P53" s="1"/>
    </row>
    <row r="54" spans="2:22" ht="12.5">
      <c r="B54" s="7" t="str">
        <f t="shared" si="14"/>
        <v/>
      </c>
      <c r="C54" s="50">
        <f>IF(D11="","-",+C53+1)</f>
        <v>2061</v>
      </c>
      <c r="D54" s="55">
        <f>IF(F53+SUM(E$17:E53)=D$10,F53,D$10-SUM(E$17:E53))</f>
        <v>459356.05017269182</v>
      </c>
      <c r="E54" s="56">
        <f t="shared" si="6"/>
        <v>217711.17087322273</v>
      </c>
      <c r="F54" s="55">
        <f t="shared" si="7"/>
        <v>241644.87929946909</v>
      </c>
      <c r="G54" s="57">
        <f t="shared" si="8"/>
        <v>258860.87377994505</v>
      </c>
      <c r="H54" s="42">
        <f t="shared" si="9"/>
        <v>258860.87377994505</v>
      </c>
      <c r="I54" s="52">
        <f t="shared" si="10"/>
        <v>0</v>
      </c>
      <c r="J54" s="52"/>
      <c r="K54" s="115"/>
      <c r="L54" s="54">
        <f t="shared" si="11"/>
        <v>0</v>
      </c>
      <c r="M54" s="115"/>
      <c r="N54" s="54">
        <f t="shared" si="12"/>
        <v>0</v>
      </c>
      <c r="O54" s="54">
        <f t="shared" si="13"/>
        <v>0</v>
      </c>
      <c r="P54" s="1"/>
    </row>
    <row r="55" spans="2:22" ht="12.5">
      <c r="B55" s="7" t="str">
        <f t="shared" si="14"/>
        <v/>
      </c>
      <c r="C55" s="50">
        <f>IF(D11="","-",+C54+1)</f>
        <v>2062</v>
      </c>
      <c r="D55" s="55">
        <f>IF(F54+SUM(E$17:E54)=D$10,F54,D$10-SUM(E$17:E54))</f>
        <v>241644.87929946909</v>
      </c>
      <c r="E55" s="56">
        <f t="shared" si="6"/>
        <v>217711.17087322273</v>
      </c>
      <c r="F55" s="55">
        <f t="shared" si="7"/>
        <v>23933.708426246361</v>
      </c>
      <c r="G55" s="57">
        <f t="shared" si="8"/>
        <v>233300.99325980502</v>
      </c>
      <c r="H55" s="42">
        <f t="shared" si="9"/>
        <v>233300.99325980502</v>
      </c>
      <c r="I55" s="52">
        <f t="shared" si="10"/>
        <v>0</v>
      </c>
      <c r="J55" s="52"/>
      <c r="K55" s="115"/>
      <c r="L55" s="54">
        <f t="shared" si="11"/>
        <v>0</v>
      </c>
      <c r="M55" s="115"/>
      <c r="N55" s="54">
        <f t="shared" si="12"/>
        <v>0</v>
      </c>
      <c r="O55" s="54">
        <f t="shared" si="13"/>
        <v>0</v>
      </c>
      <c r="P55" s="1"/>
    </row>
    <row r="56" spans="2:22" ht="12.5">
      <c r="B56" s="7" t="str">
        <f t="shared" si="14"/>
        <v/>
      </c>
      <c r="C56" s="50">
        <f>IF(D11="","-",+C55+1)</f>
        <v>2063</v>
      </c>
      <c r="D56" s="55">
        <f>IF(F55+SUM(E$17:E55)=D$10,F55,D$10-SUM(E$17:E55))</f>
        <v>23933.708426246361</v>
      </c>
      <c r="E56" s="56">
        <f t="shared" si="6"/>
        <v>23933.708426246361</v>
      </c>
      <c r="F56" s="55">
        <f t="shared" si="7"/>
        <v>0</v>
      </c>
      <c r="G56" s="57">
        <f t="shared" si="8"/>
        <v>25338.649489502495</v>
      </c>
      <c r="H56" s="42">
        <f t="shared" si="9"/>
        <v>25338.649489502495</v>
      </c>
      <c r="I56" s="52">
        <f t="shared" si="10"/>
        <v>0</v>
      </c>
      <c r="J56" s="52"/>
      <c r="K56" s="115"/>
      <c r="L56" s="54">
        <f t="shared" si="11"/>
        <v>0</v>
      </c>
      <c r="M56" s="115"/>
      <c r="N56" s="54">
        <f t="shared" si="12"/>
        <v>0</v>
      </c>
      <c r="O56" s="54">
        <f t="shared" si="13"/>
        <v>0</v>
      </c>
      <c r="P56" s="1"/>
    </row>
    <row r="57" spans="2:22" ht="12.5">
      <c r="B57" s="7" t="str">
        <f t="shared" si="14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1"/>
        <v>0</v>
      </c>
      <c r="M57" s="115"/>
      <c r="N57" s="54">
        <f t="shared" si="12"/>
        <v>0</v>
      </c>
      <c r="O57" s="54">
        <f t="shared" si="13"/>
        <v>0</v>
      </c>
      <c r="P57" s="1"/>
    </row>
    <row r="58" spans="2:22" ht="12.5">
      <c r="B58" s="7" t="str">
        <f t="shared" si="14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1"/>
        <v>0</v>
      </c>
      <c r="M58" s="115"/>
      <c r="N58" s="54">
        <f t="shared" si="12"/>
        <v>0</v>
      </c>
      <c r="O58" s="54">
        <f t="shared" si="13"/>
        <v>0</v>
      </c>
      <c r="P58" s="1"/>
    </row>
    <row r="59" spans="2:22" ht="12.5">
      <c r="B59" s="7" t="str">
        <f t="shared" si="14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1"/>
        <v>0</v>
      </c>
      <c r="M59" s="115"/>
      <c r="N59" s="54">
        <f t="shared" si="12"/>
        <v>0</v>
      </c>
      <c r="O59" s="54">
        <f t="shared" si="13"/>
        <v>0</v>
      </c>
      <c r="P59" s="1"/>
    </row>
    <row r="60" spans="2:22" ht="12.5">
      <c r="B60" s="7" t="str">
        <f t="shared" si="14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1"/>
        <v>0</v>
      </c>
      <c r="M60" s="115"/>
      <c r="N60" s="54">
        <f t="shared" si="12"/>
        <v>0</v>
      </c>
      <c r="O60" s="54">
        <f t="shared" si="13"/>
        <v>0</v>
      </c>
      <c r="P60" s="1"/>
    </row>
    <row r="61" spans="2:22" ht="12.5">
      <c r="B61" s="7" t="str">
        <f t="shared" si="14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1"/>
        <v>0</v>
      </c>
      <c r="M61" s="115"/>
      <c r="N61" s="54">
        <f t="shared" si="12"/>
        <v>0</v>
      </c>
      <c r="O61" s="54">
        <f t="shared" si="13"/>
        <v>0</v>
      </c>
      <c r="P61" s="1"/>
    </row>
    <row r="62" spans="2:22" ht="12.5">
      <c r="B62" s="7" t="str">
        <f t="shared" si="14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1"/>
        <v>0</v>
      </c>
      <c r="M62" s="115"/>
      <c r="N62" s="54">
        <f t="shared" si="12"/>
        <v>0</v>
      </c>
      <c r="O62" s="54">
        <f t="shared" si="13"/>
        <v>0</v>
      </c>
      <c r="P62" s="1"/>
    </row>
    <row r="63" spans="2:22" ht="12.5">
      <c r="B63" s="7" t="str">
        <f t="shared" si="14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1"/>
        <v>0</v>
      </c>
      <c r="M63" s="115"/>
      <c r="N63" s="54">
        <f t="shared" si="12"/>
        <v>0</v>
      </c>
      <c r="O63" s="54">
        <f t="shared" si="13"/>
        <v>0</v>
      </c>
      <c r="P63" s="1"/>
    </row>
    <row r="64" spans="2:22" ht="12.5">
      <c r="B64" s="7" t="str">
        <f t="shared" si="14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1"/>
        <v>0</v>
      </c>
      <c r="M64" s="115"/>
      <c r="N64" s="54">
        <f t="shared" si="12"/>
        <v>0</v>
      </c>
      <c r="O64" s="54">
        <f t="shared" si="13"/>
        <v>0</v>
      </c>
      <c r="P64" s="1"/>
    </row>
    <row r="65" spans="2:16" ht="12.5">
      <c r="B65" s="7" t="str">
        <f t="shared" si="14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1"/>
        <v>0</v>
      </c>
      <c r="M65" s="115"/>
      <c r="N65" s="54">
        <f t="shared" si="12"/>
        <v>0</v>
      </c>
      <c r="O65" s="54">
        <f t="shared" si="13"/>
        <v>0</v>
      </c>
      <c r="P65" s="1"/>
    </row>
    <row r="66" spans="2:16" ht="12.5">
      <c r="B66" s="7" t="str">
        <f t="shared" si="14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1"/>
        <v>0</v>
      </c>
      <c r="M66" s="115"/>
      <c r="N66" s="54">
        <f t="shared" si="12"/>
        <v>0</v>
      </c>
      <c r="O66" s="54">
        <f t="shared" si="13"/>
        <v>0</v>
      </c>
      <c r="P66" s="1"/>
    </row>
    <row r="67" spans="2:16" ht="12.5">
      <c r="B67" s="7" t="str">
        <f t="shared" si="14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1"/>
        <v>0</v>
      </c>
      <c r="M67" s="115"/>
      <c r="N67" s="54">
        <f t="shared" si="12"/>
        <v>0</v>
      </c>
      <c r="O67" s="54">
        <f t="shared" si="13"/>
        <v>0</v>
      </c>
      <c r="P67" s="1"/>
    </row>
    <row r="68" spans="2:16" ht="12.5">
      <c r="B68" s="7" t="str">
        <f t="shared" si="14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1"/>
        <v>0</v>
      </c>
      <c r="M68" s="115"/>
      <c r="N68" s="54">
        <f t="shared" si="12"/>
        <v>0</v>
      </c>
      <c r="O68" s="54">
        <f t="shared" si="13"/>
        <v>0</v>
      </c>
      <c r="P68" s="1"/>
    </row>
    <row r="69" spans="2:16" ht="12.5">
      <c r="B69" s="7" t="str">
        <f t="shared" si="14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1"/>
        <v>0</v>
      </c>
      <c r="M69" s="115"/>
      <c r="N69" s="54">
        <f t="shared" si="12"/>
        <v>0</v>
      </c>
      <c r="O69" s="54">
        <f t="shared" si="13"/>
        <v>0</v>
      </c>
      <c r="P69" s="1"/>
    </row>
    <row r="70" spans="2:16" ht="12.5">
      <c r="B70" s="7" t="str">
        <f t="shared" si="14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1"/>
        <v>0</v>
      </c>
      <c r="M70" s="115"/>
      <c r="N70" s="54">
        <f t="shared" si="12"/>
        <v>0</v>
      </c>
      <c r="O70" s="54">
        <f t="shared" si="13"/>
        <v>0</v>
      </c>
      <c r="P70" s="1"/>
    </row>
    <row r="71" spans="2:16" ht="12.5">
      <c r="B71" s="7" t="str">
        <f t="shared" si="14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1"/>
        <v>0</v>
      </c>
      <c r="M71" s="115"/>
      <c r="N71" s="54">
        <f t="shared" si="12"/>
        <v>0</v>
      </c>
      <c r="O71" s="54">
        <f t="shared" si="13"/>
        <v>0</v>
      </c>
      <c r="P71" s="1"/>
    </row>
    <row r="72" spans="2:16" ht="13" thickBot="1">
      <c r="B72" s="7" t="str">
        <f t="shared" si="14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1"/>
        <v>0</v>
      </c>
      <c r="M72" s="116"/>
      <c r="N72" s="62">
        <f t="shared" si="12"/>
        <v>0</v>
      </c>
      <c r="O72" s="62">
        <f t="shared" si="13"/>
        <v>0</v>
      </c>
      <c r="P72" s="1"/>
    </row>
    <row r="73" spans="2:16" ht="12.5">
      <c r="C73" s="12" t="s">
        <v>77</v>
      </c>
      <c r="D73" s="14"/>
      <c r="E73" s="14">
        <f>SUM(E17:E72)</f>
        <v>8273024.4931824636</v>
      </c>
      <c r="F73" s="14"/>
      <c r="G73" s="14">
        <f>SUM(G17:G72)</f>
        <v>26922087.767138697</v>
      </c>
      <c r="H73" s="14">
        <f>SUM(H17:H72)</f>
        <v>26922087.767138697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32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222415.29712588375</v>
      </c>
      <c r="N87" s="66">
        <f>IF(J92&lt;D11,0,VLOOKUP(J92,C17:O72,11))</f>
        <v>222415.29712588375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537316.27635143558</v>
      </c>
      <c r="N88" s="68">
        <f>IF(J92&lt;D11,0,VLOOKUP(J92,C99:P154,7))</f>
        <v>537316.27635143558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Catoosa-Blue Circle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314900.97922555183</v>
      </c>
      <c r="N89" s="71">
        <f>+N88-N87</f>
        <v>314900.97922555183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TP2021281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v>8000617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v>38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210543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58" t="s">
        <v>76</v>
      </c>
      <c r="M98" s="458" t="s">
        <v>76</v>
      </c>
      <c r="N98" s="458" t="s">
        <v>105</v>
      </c>
      <c r="O98" s="458" t="s">
        <v>105</v>
      </c>
      <c r="P98" s="49" t="s">
        <v>105</v>
      </c>
    </row>
    <row r="99" spans="1:16" ht="12.5">
      <c r="C99" s="50">
        <f>IF(D93= "","-",D93)</f>
        <v>2024</v>
      </c>
      <c r="D99" s="115">
        <v>0</v>
      </c>
      <c r="E99" s="115">
        <v>0</v>
      </c>
      <c r="F99" s="115">
        <v>8000617</v>
      </c>
      <c r="G99" s="115">
        <v>4000308.5</v>
      </c>
      <c r="H99" s="115">
        <v>537316.27635143558</v>
      </c>
      <c r="I99" s="115">
        <v>537316.27635143558</v>
      </c>
      <c r="J99" s="54">
        <f>+I99-H99</f>
        <v>0</v>
      </c>
      <c r="K99" s="54"/>
      <c r="L99" s="324">
        <f t="shared" ref="L99" si="15">+H99</f>
        <v>537316.27635143558</v>
      </c>
      <c r="M99" s="54">
        <f t="shared" ref="M99:M107" si="16">IF(L99&lt;&gt;0,+H99-L99,0)</f>
        <v>0</v>
      </c>
      <c r="N99" s="324">
        <f t="shared" ref="N99" si="17">+I99</f>
        <v>537316.27635143558</v>
      </c>
      <c r="O99" s="54">
        <f t="shared" ref="O99:O107" si="18">IF(N99&lt;&gt;0,+I99-N99,0)</f>
        <v>0</v>
      </c>
      <c r="P99" s="54">
        <f t="shared" ref="P99:P107" si="19">+O99-M99</f>
        <v>0</v>
      </c>
    </row>
    <row r="100" spans="1:16" ht="12.5">
      <c r="B100" s="7" t="str">
        <f>IF(D100=F99,"","IU")</f>
        <v/>
      </c>
      <c r="C100" s="50">
        <f>IF(D93="","-",+C99+1)</f>
        <v>2025</v>
      </c>
      <c r="D100" s="460">
        <f>IF(F99+SUM(E$99:E99)=D$92,F99,D$92-SUM(E$99:E99))</f>
        <v>8000617</v>
      </c>
      <c r="E100" s="56">
        <f>IF(+J$96&lt;F99,J$96,D100)</f>
        <v>210543</v>
      </c>
      <c r="F100" s="461">
        <f>+D100-E100</f>
        <v>7790074</v>
      </c>
      <c r="G100" s="461">
        <f>+(F100+D100)/2</f>
        <v>7895345.5</v>
      </c>
      <c r="H100" s="113">
        <f t="shared" ref="H100" si="20">+J$94*G100+E100</f>
        <v>1271035.6206486481</v>
      </c>
      <c r="I100" s="122">
        <f t="shared" ref="I100" si="21">+J$95*G100+E100</f>
        <v>1271035.6206486481</v>
      </c>
      <c r="J100" s="54">
        <f t="shared" ref="J100:J130" si="22">+I100-H100</f>
        <v>0</v>
      </c>
      <c r="K100" s="54"/>
      <c r="L100" s="115"/>
      <c r="M100" s="54">
        <f t="shared" si="16"/>
        <v>0</v>
      </c>
      <c r="N100" s="115"/>
      <c r="O100" s="54">
        <f t="shared" si="18"/>
        <v>0</v>
      </c>
      <c r="P100" s="54">
        <f t="shared" si="19"/>
        <v>0</v>
      </c>
    </row>
    <row r="101" spans="1:16" ht="12.5">
      <c r="B101" s="7" t="str">
        <f t="shared" ref="B101:B154" si="23">IF(D101=F100,"","IU")</f>
        <v/>
      </c>
      <c r="C101" s="50">
        <f>IF(D93="","-",+C100+1)</f>
        <v>2026</v>
      </c>
      <c r="D101" s="12">
        <f>IF(F100+SUM(E$99:E100)=D$92,F100,D$92-SUM(E$99:E100))</f>
        <v>7790074</v>
      </c>
      <c r="E101" s="56">
        <f t="shared" ref="E101:E107" si="24">IF(+J$96&lt;F100,J$96,D101)</f>
        <v>210543</v>
      </c>
      <c r="F101" s="55">
        <f t="shared" ref="F101:F107" si="25">+D101-E101</f>
        <v>7579531</v>
      </c>
      <c r="G101" s="55">
        <f t="shared" ref="G101:G107" si="26">+(F101+D101)/2</f>
        <v>7684802.5</v>
      </c>
      <c r="H101" s="113">
        <f t="shared" ref="H101:H107" si="27">+J$94*G101+E101</f>
        <v>1242755.7565402025</v>
      </c>
      <c r="I101" s="122">
        <f t="shared" ref="I101:I107" si="28">+J$95*G101+E101</f>
        <v>1242755.7565402025</v>
      </c>
      <c r="J101" s="54">
        <f t="shared" si="22"/>
        <v>0</v>
      </c>
      <c r="K101" s="54"/>
      <c r="L101" s="115"/>
      <c r="M101" s="54">
        <f t="shared" si="16"/>
        <v>0</v>
      </c>
      <c r="N101" s="115"/>
      <c r="O101" s="54">
        <f t="shared" si="18"/>
        <v>0</v>
      </c>
      <c r="P101" s="54">
        <f t="shared" si="19"/>
        <v>0</v>
      </c>
    </row>
    <row r="102" spans="1:16" ht="12.5">
      <c r="B102" s="7" t="str">
        <f t="shared" si="23"/>
        <v/>
      </c>
      <c r="C102" s="50">
        <f>IF(D93="","-",+C101+1)</f>
        <v>2027</v>
      </c>
      <c r="D102" s="12">
        <f>IF(F101+SUM(E$99:E101)=D$92,F101,D$92-SUM(E$99:E101))</f>
        <v>7579531</v>
      </c>
      <c r="E102" s="56">
        <f t="shared" si="24"/>
        <v>210543</v>
      </c>
      <c r="F102" s="55">
        <f t="shared" si="25"/>
        <v>7368988</v>
      </c>
      <c r="G102" s="55">
        <f t="shared" si="26"/>
        <v>7474259.5</v>
      </c>
      <c r="H102" s="113">
        <f t="shared" si="27"/>
        <v>1214475.8924317567</v>
      </c>
      <c r="I102" s="122">
        <f t="shared" si="28"/>
        <v>1214475.8924317567</v>
      </c>
      <c r="J102" s="54">
        <f t="shared" si="22"/>
        <v>0</v>
      </c>
      <c r="K102" s="54"/>
      <c r="L102" s="115"/>
      <c r="M102" s="54">
        <f t="shared" si="16"/>
        <v>0</v>
      </c>
      <c r="N102" s="115"/>
      <c r="O102" s="54">
        <f t="shared" si="18"/>
        <v>0</v>
      </c>
      <c r="P102" s="54">
        <f t="shared" si="19"/>
        <v>0</v>
      </c>
    </row>
    <row r="103" spans="1:16" ht="12.5">
      <c r="B103" s="7" t="str">
        <f t="shared" si="23"/>
        <v/>
      </c>
      <c r="C103" s="50">
        <f>IF(D93="","-",+C102+1)</f>
        <v>2028</v>
      </c>
      <c r="D103" s="12">
        <f>IF(F102+SUM(E$99:E102)=D$92,F102,D$92-SUM(E$99:E102))</f>
        <v>7368988</v>
      </c>
      <c r="E103" s="56">
        <f t="shared" si="24"/>
        <v>210543</v>
      </c>
      <c r="F103" s="55">
        <f t="shared" si="25"/>
        <v>7158445</v>
      </c>
      <c r="G103" s="55">
        <f t="shared" si="26"/>
        <v>7263716.5</v>
      </c>
      <c r="H103" s="113">
        <f t="shared" si="27"/>
        <v>1186196.0283233109</v>
      </c>
      <c r="I103" s="122">
        <f t="shared" si="28"/>
        <v>1186196.0283233109</v>
      </c>
      <c r="J103" s="54">
        <f t="shared" si="22"/>
        <v>0</v>
      </c>
      <c r="K103" s="54"/>
      <c r="L103" s="115"/>
      <c r="M103" s="54">
        <f t="shared" si="16"/>
        <v>0</v>
      </c>
      <c r="N103" s="115"/>
      <c r="O103" s="54">
        <f t="shared" si="18"/>
        <v>0</v>
      </c>
      <c r="P103" s="54">
        <f t="shared" si="19"/>
        <v>0</v>
      </c>
    </row>
    <row r="104" spans="1:16" ht="12.5">
      <c r="B104" s="7" t="str">
        <f t="shared" si="23"/>
        <v/>
      </c>
      <c r="C104" s="50">
        <f>IF(D93="","-",+C103+1)</f>
        <v>2029</v>
      </c>
      <c r="D104" s="12">
        <f>IF(F103+SUM(E$99:E103)=D$92,F103,D$92-SUM(E$99:E103))</f>
        <v>7158445</v>
      </c>
      <c r="E104" s="56">
        <f t="shared" si="24"/>
        <v>210543</v>
      </c>
      <c r="F104" s="55">
        <f t="shared" si="25"/>
        <v>6947902</v>
      </c>
      <c r="G104" s="55">
        <f t="shared" si="26"/>
        <v>7053173.5</v>
      </c>
      <c r="H104" s="113">
        <f t="shared" si="27"/>
        <v>1157916.1642148653</v>
      </c>
      <c r="I104" s="122">
        <f t="shared" si="28"/>
        <v>1157916.1642148653</v>
      </c>
      <c r="J104" s="54">
        <f t="shared" si="22"/>
        <v>0</v>
      </c>
      <c r="K104" s="54"/>
      <c r="L104" s="115"/>
      <c r="M104" s="54">
        <f t="shared" si="16"/>
        <v>0</v>
      </c>
      <c r="N104" s="115"/>
      <c r="O104" s="54">
        <f t="shared" si="18"/>
        <v>0</v>
      </c>
      <c r="P104" s="54">
        <f t="shared" si="19"/>
        <v>0</v>
      </c>
    </row>
    <row r="105" spans="1:16" ht="12.5">
      <c r="B105" s="7" t="str">
        <f t="shared" si="23"/>
        <v/>
      </c>
      <c r="C105" s="50">
        <f>IF(D93="","-",+C104+1)</f>
        <v>2030</v>
      </c>
      <c r="D105" s="12">
        <f>IF(F104+SUM(E$99:E104)=D$92,F104,D$92-SUM(E$99:E104))</f>
        <v>6947902</v>
      </c>
      <c r="E105" s="56">
        <f t="shared" si="24"/>
        <v>210543</v>
      </c>
      <c r="F105" s="55">
        <f t="shared" si="25"/>
        <v>6737359</v>
      </c>
      <c r="G105" s="55">
        <f t="shared" si="26"/>
        <v>6842630.5</v>
      </c>
      <c r="H105" s="113">
        <f t="shared" si="27"/>
        <v>1129636.3001064197</v>
      </c>
      <c r="I105" s="122">
        <f t="shared" si="28"/>
        <v>1129636.3001064197</v>
      </c>
      <c r="J105" s="54">
        <f t="shared" si="22"/>
        <v>0</v>
      </c>
      <c r="K105" s="54"/>
      <c r="L105" s="115"/>
      <c r="M105" s="54">
        <f t="shared" si="16"/>
        <v>0</v>
      </c>
      <c r="N105" s="115"/>
      <c r="O105" s="54">
        <f t="shared" si="18"/>
        <v>0</v>
      </c>
      <c r="P105" s="54">
        <f t="shared" si="19"/>
        <v>0</v>
      </c>
    </row>
    <row r="106" spans="1:16" ht="12.5">
      <c r="B106" s="7" t="str">
        <f t="shared" si="23"/>
        <v/>
      </c>
      <c r="C106" s="50">
        <f>IF(D93="","-",+C105+1)</f>
        <v>2031</v>
      </c>
      <c r="D106" s="12">
        <f>IF(F105+SUM(E$99:E105)=D$92,F105,D$92-SUM(E$99:E105))</f>
        <v>6737359</v>
      </c>
      <c r="E106" s="56">
        <f t="shared" si="24"/>
        <v>210543</v>
      </c>
      <c r="F106" s="55">
        <f t="shared" si="25"/>
        <v>6526816</v>
      </c>
      <c r="G106" s="55">
        <f t="shared" si="26"/>
        <v>6632087.5</v>
      </c>
      <c r="H106" s="113">
        <f t="shared" si="27"/>
        <v>1101356.4359979739</v>
      </c>
      <c r="I106" s="122">
        <f t="shared" si="28"/>
        <v>1101356.4359979739</v>
      </c>
      <c r="J106" s="54">
        <f t="shared" si="22"/>
        <v>0</v>
      </c>
      <c r="K106" s="54"/>
      <c r="L106" s="115"/>
      <c r="M106" s="54">
        <f t="shared" si="16"/>
        <v>0</v>
      </c>
      <c r="N106" s="115"/>
      <c r="O106" s="54">
        <f t="shared" si="18"/>
        <v>0</v>
      </c>
      <c r="P106" s="54">
        <f t="shared" si="19"/>
        <v>0</v>
      </c>
    </row>
    <row r="107" spans="1:16" ht="12.5">
      <c r="B107" s="7" t="str">
        <f t="shared" si="23"/>
        <v/>
      </c>
      <c r="C107" s="50">
        <f>IF(D93="","-",+C106+1)</f>
        <v>2032</v>
      </c>
      <c r="D107" s="12">
        <f>IF(F106+SUM(E$99:E106)=D$92,F106,D$92-SUM(E$99:E106))</f>
        <v>6526816</v>
      </c>
      <c r="E107" s="56">
        <f t="shared" si="24"/>
        <v>210543</v>
      </c>
      <c r="F107" s="55">
        <f t="shared" si="25"/>
        <v>6316273</v>
      </c>
      <c r="G107" s="55">
        <f t="shared" si="26"/>
        <v>6421544.5</v>
      </c>
      <c r="H107" s="113">
        <f t="shared" si="27"/>
        <v>1073076.5718895281</v>
      </c>
      <c r="I107" s="122">
        <f t="shared" si="28"/>
        <v>1073076.5718895281</v>
      </c>
      <c r="J107" s="54">
        <f t="shared" si="22"/>
        <v>0</v>
      </c>
      <c r="K107" s="54"/>
      <c r="L107" s="115"/>
      <c r="M107" s="54">
        <f t="shared" si="16"/>
        <v>0</v>
      </c>
      <c r="N107" s="115"/>
      <c r="O107" s="54">
        <f t="shared" si="18"/>
        <v>0</v>
      </c>
      <c r="P107" s="54">
        <f t="shared" si="19"/>
        <v>0</v>
      </c>
    </row>
    <row r="108" spans="1:16" ht="12.5">
      <c r="B108" s="7" t="str">
        <f t="shared" si="23"/>
        <v/>
      </c>
      <c r="C108" s="50">
        <f>IF(D93="","-",+C107+1)</f>
        <v>2033</v>
      </c>
      <c r="D108" s="12">
        <f>IF(F107+SUM(E$99:E107)=D$92,F107,D$92-SUM(E$99:E107))</f>
        <v>6316273</v>
      </c>
      <c r="E108" s="56">
        <f t="shared" ref="E108:E154" si="29">IF(+J$96&lt;F107,J$96,D108)</f>
        <v>210543</v>
      </c>
      <c r="F108" s="55">
        <f t="shared" ref="F108:F154" si="30">+D108-E108</f>
        <v>6105730</v>
      </c>
      <c r="G108" s="55">
        <f t="shared" ref="G108:G154" si="31">+(F108+D108)/2</f>
        <v>6211001.5</v>
      </c>
      <c r="H108" s="113">
        <f t="shared" ref="H108:H154" si="32">+J$94*G108+E108</f>
        <v>1044796.7077810825</v>
      </c>
      <c r="I108" s="122">
        <f t="shared" ref="I108:I154" si="33">+J$95*G108+E108</f>
        <v>1044796.7077810825</v>
      </c>
      <c r="J108" s="54">
        <f t="shared" si="22"/>
        <v>0</v>
      </c>
      <c r="K108" s="54"/>
      <c r="L108" s="115"/>
      <c r="M108" s="54">
        <f t="shared" ref="M108:M130" si="34">IF(L108&lt;&gt;0,+H108-L108,0)</f>
        <v>0</v>
      </c>
      <c r="N108" s="115"/>
      <c r="O108" s="54">
        <f t="shared" ref="O108:O130" si="35">IF(N108&lt;&gt;0,+I108-N108,0)</f>
        <v>0</v>
      </c>
      <c r="P108" s="54">
        <f t="shared" ref="P108:P130" si="36">+O108-M108</f>
        <v>0</v>
      </c>
    </row>
    <row r="109" spans="1:16" ht="12.5">
      <c r="B109" s="7" t="str">
        <f t="shared" si="23"/>
        <v/>
      </c>
      <c r="C109" s="50">
        <f>IF(D93="","-",+C108+1)</f>
        <v>2034</v>
      </c>
      <c r="D109" s="12">
        <f>IF(F108+SUM(E$99:E108)=D$92,F108,D$92-SUM(E$99:E108))</f>
        <v>6105730</v>
      </c>
      <c r="E109" s="56">
        <f t="shared" si="29"/>
        <v>210543</v>
      </c>
      <c r="F109" s="55">
        <f t="shared" si="30"/>
        <v>5895187</v>
      </c>
      <c r="G109" s="55">
        <f t="shared" si="31"/>
        <v>6000458.5</v>
      </c>
      <c r="H109" s="113">
        <f t="shared" si="32"/>
        <v>1016516.8436726368</v>
      </c>
      <c r="I109" s="122">
        <f t="shared" si="33"/>
        <v>1016516.8436726368</v>
      </c>
      <c r="J109" s="54">
        <f t="shared" si="22"/>
        <v>0</v>
      </c>
      <c r="K109" s="54"/>
      <c r="L109" s="115"/>
      <c r="M109" s="54">
        <f t="shared" si="34"/>
        <v>0</v>
      </c>
      <c r="N109" s="115"/>
      <c r="O109" s="54">
        <f t="shared" si="35"/>
        <v>0</v>
      </c>
      <c r="P109" s="54">
        <f t="shared" si="36"/>
        <v>0</v>
      </c>
    </row>
    <row r="110" spans="1:16" ht="12.5">
      <c r="B110" s="7" t="str">
        <f t="shared" si="23"/>
        <v/>
      </c>
      <c r="C110" s="50">
        <f>IF(D93="","-",+C109+1)</f>
        <v>2035</v>
      </c>
      <c r="D110" s="12">
        <f>IF(F109+SUM(E$99:E109)=D$92,F109,D$92-SUM(E$99:E109))</f>
        <v>5895187</v>
      </c>
      <c r="E110" s="56">
        <f t="shared" si="29"/>
        <v>210543</v>
      </c>
      <c r="F110" s="55">
        <f t="shared" si="30"/>
        <v>5684644</v>
      </c>
      <c r="G110" s="55">
        <f t="shared" si="31"/>
        <v>5789915.5</v>
      </c>
      <c r="H110" s="113">
        <f t="shared" si="32"/>
        <v>988236.97956419108</v>
      </c>
      <c r="I110" s="122">
        <f t="shared" si="33"/>
        <v>988236.97956419108</v>
      </c>
      <c r="J110" s="54">
        <f t="shared" si="22"/>
        <v>0</v>
      </c>
      <c r="K110" s="54"/>
      <c r="L110" s="115"/>
      <c r="M110" s="54">
        <f t="shared" si="34"/>
        <v>0</v>
      </c>
      <c r="N110" s="115"/>
      <c r="O110" s="54">
        <f t="shared" si="35"/>
        <v>0</v>
      </c>
      <c r="P110" s="54">
        <f t="shared" si="36"/>
        <v>0</v>
      </c>
    </row>
    <row r="111" spans="1:16" ht="12.5">
      <c r="B111" s="7" t="str">
        <f t="shared" si="23"/>
        <v/>
      </c>
      <c r="C111" s="50">
        <f>IF(D93="","-",+C110+1)</f>
        <v>2036</v>
      </c>
      <c r="D111" s="12">
        <f>IF(F110+SUM(E$99:E110)=D$92,F110,D$92-SUM(E$99:E110))</f>
        <v>5684644</v>
      </c>
      <c r="E111" s="56">
        <f t="shared" si="29"/>
        <v>210543</v>
      </c>
      <c r="F111" s="55">
        <f t="shared" si="30"/>
        <v>5474101</v>
      </c>
      <c r="G111" s="55">
        <f t="shared" si="31"/>
        <v>5579372.5</v>
      </c>
      <c r="H111" s="113">
        <f t="shared" si="32"/>
        <v>959957.11545574537</v>
      </c>
      <c r="I111" s="122">
        <f t="shared" si="33"/>
        <v>959957.11545574537</v>
      </c>
      <c r="J111" s="54">
        <f t="shared" si="22"/>
        <v>0</v>
      </c>
      <c r="K111" s="54"/>
      <c r="L111" s="115"/>
      <c r="M111" s="54">
        <f t="shared" si="34"/>
        <v>0</v>
      </c>
      <c r="N111" s="115"/>
      <c r="O111" s="54">
        <f t="shared" si="35"/>
        <v>0</v>
      </c>
      <c r="P111" s="54">
        <f t="shared" si="36"/>
        <v>0</v>
      </c>
    </row>
    <row r="112" spans="1:16" ht="12.5">
      <c r="B112" s="7" t="str">
        <f t="shared" si="23"/>
        <v/>
      </c>
      <c r="C112" s="50">
        <f>IF(D93="","-",+C111+1)</f>
        <v>2037</v>
      </c>
      <c r="D112" s="12">
        <f>IF(F111+SUM(E$99:E111)=D$92,F111,D$92-SUM(E$99:E111))</f>
        <v>5474101</v>
      </c>
      <c r="E112" s="56">
        <f t="shared" si="29"/>
        <v>210543</v>
      </c>
      <c r="F112" s="55">
        <f t="shared" si="30"/>
        <v>5263558</v>
      </c>
      <c r="G112" s="55">
        <f t="shared" si="31"/>
        <v>5368829.5</v>
      </c>
      <c r="H112" s="113">
        <f t="shared" si="32"/>
        <v>931677.25134729967</v>
      </c>
      <c r="I112" s="122">
        <f t="shared" si="33"/>
        <v>931677.25134729967</v>
      </c>
      <c r="J112" s="54">
        <f t="shared" si="22"/>
        <v>0</v>
      </c>
      <c r="K112" s="54"/>
      <c r="L112" s="115"/>
      <c r="M112" s="54">
        <f t="shared" si="34"/>
        <v>0</v>
      </c>
      <c r="N112" s="115"/>
      <c r="O112" s="54">
        <f t="shared" si="35"/>
        <v>0</v>
      </c>
      <c r="P112" s="54">
        <f t="shared" si="36"/>
        <v>0</v>
      </c>
    </row>
    <row r="113" spans="2:16" ht="12.5">
      <c r="B113" s="7" t="str">
        <f t="shared" si="23"/>
        <v/>
      </c>
      <c r="C113" s="50">
        <f>IF(D93="","-",+C112+1)</f>
        <v>2038</v>
      </c>
      <c r="D113" s="12">
        <f>IF(F112+SUM(E$99:E112)=D$92,F112,D$92-SUM(E$99:E112))</f>
        <v>5263558</v>
      </c>
      <c r="E113" s="56">
        <f t="shared" si="29"/>
        <v>210543</v>
      </c>
      <c r="F113" s="55">
        <f t="shared" si="30"/>
        <v>5053015</v>
      </c>
      <c r="G113" s="55">
        <f t="shared" si="31"/>
        <v>5158286.5</v>
      </c>
      <c r="H113" s="113">
        <f t="shared" si="32"/>
        <v>903397.38723885396</v>
      </c>
      <c r="I113" s="122">
        <f t="shared" si="33"/>
        <v>903397.38723885396</v>
      </c>
      <c r="J113" s="54">
        <f t="shared" si="22"/>
        <v>0</v>
      </c>
      <c r="K113" s="54"/>
      <c r="L113" s="115"/>
      <c r="M113" s="54">
        <f t="shared" si="34"/>
        <v>0</v>
      </c>
      <c r="N113" s="115"/>
      <c r="O113" s="54">
        <f t="shared" si="35"/>
        <v>0</v>
      </c>
      <c r="P113" s="54">
        <f t="shared" si="36"/>
        <v>0</v>
      </c>
    </row>
    <row r="114" spans="2:16" ht="12.5">
      <c r="B114" s="7" t="str">
        <f t="shared" si="23"/>
        <v/>
      </c>
      <c r="C114" s="50">
        <f>IF(D93="","-",+C113+1)</f>
        <v>2039</v>
      </c>
      <c r="D114" s="12">
        <f>IF(F113+SUM(E$99:E113)=D$92,F113,D$92-SUM(E$99:E113))</f>
        <v>5053015</v>
      </c>
      <c r="E114" s="56">
        <f t="shared" si="29"/>
        <v>210543</v>
      </c>
      <c r="F114" s="55">
        <f t="shared" si="30"/>
        <v>4842472</v>
      </c>
      <c r="G114" s="55">
        <f t="shared" si="31"/>
        <v>4947743.5</v>
      </c>
      <c r="H114" s="113">
        <f t="shared" si="32"/>
        <v>875117.52313040826</v>
      </c>
      <c r="I114" s="122">
        <f t="shared" si="33"/>
        <v>875117.52313040826</v>
      </c>
      <c r="J114" s="54">
        <f t="shared" si="22"/>
        <v>0</v>
      </c>
      <c r="K114" s="54"/>
      <c r="L114" s="115"/>
      <c r="M114" s="54">
        <f t="shared" si="34"/>
        <v>0</v>
      </c>
      <c r="N114" s="115"/>
      <c r="O114" s="54">
        <f t="shared" si="35"/>
        <v>0</v>
      </c>
      <c r="P114" s="54">
        <f t="shared" si="36"/>
        <v>0</v>
      </c>
    </row>
    <row r="115" spans="2:16" ht="12.5">
      <c r="B115" s="7" t="str">
        <f t="shared" si="23"/>
        <v/>
      </c>
      <c r="C115" s="50">
        <f>IF(D93="","-",+C114+1)</f>
        <v>2040</v>
      </c>
      <c r="D115" s="12">
        <f>IF(F114+SUM(E$99:E114)=D$92,F114,D$92-SUM(E$99:E114))</f>
        <v>4842472</v>
      </c>
      <c r="E115" s="56">
        <f t="shared" si="29"/>
        <v>210543</v>
      </c>
      <c r="F115" s="55">
        <f t="shared" si="30"/>
        <v>4631929</v>
      </c>
      <c r="G115" s="55">
        <f t="shared" si="31"/>
        <v>4737200.5</v>
      </c>
      <c r="H115" s="113">
        <f t="shared" si="32"/>
        <v>846837.65902196255</v>
      </c>
      <c r="I115" s="122">
        <f t="shared" si="33"/>
        <v>846837.65902196255</v>
      </c>
      <c r="J115" s="54">
        <f t="shared" si="22"/>
        <v>0</v>
      </c>
      <c r="K115" s="54"/>
      <c r="L115" s="115"/>
      <c r="M115" s="54">
        <f t="shared" si="34"/>
        <v>0</v>
      </c>
      <c r="N115" s="115"/>
      <c r="O115" s="54">
        <f t="shared" si="35"/>
        <v>0</v>
      </c>
      <c r="P115" s="54">
        <f t="shared" si="36"/>
        <v>0</v>
      </c>
    </row>
    <row r="116" spans="2:16" ht="12.5">
      <c r="B116" s="7" t="str">
        <f t="shared" si="23"/>
        <v/>
      </c>
      <c r="C116" s="50">
        <f>IF(D93="","-",+C115+1)</f>
        <v>2041</v>
      </c>
      <c r="D116" s="12">
        <f>IF(F115+SUM(E$99:E115)=D$92,F115,D$92-SUM(E$99:E115))</f>
        <v>4631929</v>
      </c>
      <c r="E116" s="56">
        <f t="shared" si="29"/>
        <v>210543</v>
      </c>
      <c r="F116" s="55">
        <f t="shared" si="30"/>
        <v>4421386</v>
      </c>
      <c r="G116" s="55">
        <f t="shared" si="31"/>
        <v>4526657.5</v>
      </c>
      <c r="H116" s="113">
        <f t="shared" si="32"/>
        <v>818557.79491351685</v>
      </c>
      <c r="I116" s="122">
        <f t="shared" si="33"/>
        <v>818557.79491351685</v>
      </c>
      <c r="J116" s="54">
        <f t="shared" si="22"/>
        <v>0</v>
      </c>
      <c r="K116" s="54"/>
      <c r="L116" s="115"/>
      <c r="M116" s="54">
        <f t="shared" si="34"/>
        <v>0</v>
      </c>
      <c r="N116" s="115"/>
      <c r="O116" s="54">
        <f t="shared" si="35"/>
        <v>0</v>
      </c>
      <c r="P116" s="54">
        <f t="shared" si="36"/>
        <v>0</v>
      </c>
    </row>
    <row r="117" spans="2:16" ht="12.5">
      <c r="B117" s="7" t="str">
        <f t="shared" si="23"/>
        <v/>
      </c>
      <c r="C117" s="50">
        <f>IF(D93="","-",+C116+1)</f>
        <v>2042</v>
      </c>
      <c r="D117" s="12">
        <f>IF(F116+SUM(E$99:E116)=D$92,F116,D$92-SUM(E$99:E116))</f>
        <v>4421386</v>
      </c>
      <c r="E117" s="56">
        <f t="shared" si="29"/>
        <v>210543</v>
      </c>
      <c r="F117" s="55">
        <f t="shared" si="30"/>
        <v>4210843</v>
      </c>
      <c r="G117" s="55">
        <f t="shared" si="31"/>
        <v>4316114.5</v>
      </c>
      <c r="H117" s="113">
        <f t="shared" si="32"/>
        <v>790277.93080507114</v>
      </c>
      <c r="I117" s="122">
        <f t="shared" si="33"/>
        <v>790277.93080507114</v>
      </c>
      <c r="J117" s="54">
        <f t="shared" si="22"/>
        <v>0</v>
      </c>
      <c r="K117" s="54"/>
      <c r="L117" s="115"/>
      <c r="M117" s="54">
        <f t="shared" si="34"/>
        <v>0</v>
      </c>
      <c r="N117" s="115"/>
      <c r="O117" s="54">
        <f t="shared" si="35"/>
        <v>0</v>
      </c>
      <c r="P117" s="54">
        <f t="shared" si="36"/>
        <v>0</v>
      </c>
    </row>
    <row r="118" spans="2:16" ht="12.5">
      <c r="B118" s="7" t="str">
        <f t="shared" si="23"/>
        <v/>
      </c>
      <c r="C118" s="50">
        <f>IF(D93="","-",+C117+1)</f>
        <v>2043</v>
      </c>
      <c r="D118" s="12">
        <f>IF(F117+SUM(E$99:E117)=D$92,F117,D$92-SUM(E$99:E117))</f>
        <v>4210843</v>
      </c>
      <c r="E118" s="56">
        <f t="shared" si="29"/>
        <v>210543</v>
      </c>
      <c r="F118" s="55">
        <f t="shared" si="30"/>
        <v>4000300</v>
      </c>
      <c r="G118" s="55">
        <f t="shared" si="31"/>
        <v>4105571.5</v>
      </c>
      <c r="H118" s="113">
        <f t="shared" si="32"/>
        <v>761998.06669662544</v>
      </c>
      <c r="I118" s="122">
        <f t="shared" si="33"/>
        <v>761998.06669662544</v>
      </c>
      <c r="J118" s="54">
        <f t="shared" si="22"/>
        <v>0</v>
      </c>
      <c r="K118" s="54"/>
      <c r="L118" s="115"/>
      <c r="M118" s="54">
        <f t="shared" si="34"/>
        <v>0</v>
      </c>
      <c r="N118" s="115"/>
      <c r="O118" s="54">
        <f t="shared" si="35"/>
        <v>0</v>
      </c>
      <c r="P118" s="54">
        <f t="shared" si="36"/>
        <v>0</v>
      </c>
    </row>
    <row r="119" spans="2:16" ht="12.5">
      <c r="B119" s="7" t="str">
        <f t="shared" si="23"/>
        <v/>
      </c>
      <c r="C119" s="50">
        <f>IF(D93="","-",+C118+1)</f>
        <v>2044</v>
      </c>
      <c r="D119" s="12">
        <f>IF(F118+SUM(E$99:E118)=D$92,F118,D$92-SUM(E$99:E118))</f>
        <v>4000300</v>
      </c>
      <c r="E119" s="56">
        <f t="shared" si="29"/>
        <v>210543</v>
      </c>
      <c r="F119" s="55">
        <f t="shared" si="30"/>
        <v>3789757</v>
      </c>
      <c r="G119" s="55">
        <f t="shared" si="31"/>
        <v>3895028.5</v>
      </c>
      <c r="H119" s="113">
        <f t="shared" si="32"/>
        <v>733718.20258817973</v>
      </c>
      <c r="I119" s="122">
        <f t="shared" si="33"/>
        <v>733718.20258817973</v>
      </c>
      <c r="J119" s="54">
        <f t="shared" si="22"/>
        <v>0</v>
      </c>
      <c r="K119" s="54"/>
      <c r="L119" s="115"/>
      <c r="M119" s="54">
        <f t="shared" si="34"/>
        <v>0</v>
      </c>
      <c r="N119" s="115"/>
      <c r="O119" s="54">
        <f t="shared" si="35"/>
        <v>0</v>
      </c>
      <c r="P119" s="54">
        <f t="shared" si="36"/>
        <v>0</v>
      </c>
    </row>
    <row r="120" spans="2:16" ht="12.5">
      <c r="B120" s="7" t="str">
        <f t="shared" si="23"/>
        <v/>
      </c>
      <c r="C120" s="50">
        <f>IF(D93="","-",+C119+1)</f>
        <v>2045</v>
      </c>
      <c r="D120" s="12">
        <f>IF(F119+SUM(E$99:E119)=D$92,F119,D$92-SUM(E$99:E119))</f>
        <v>3789757</v>
      </c>
      <c r="E120" s="56">
        <f t="shared" si="29"/>
        <v>210543</v>
      </c>
      <c r="F120" s="55">
        <f t="shared" si="30"/>
        <v>3579214</v>
      </c>
      <c r="G120" s="55">
        <f t="shared" si="31"/>
        <v>3684485.5</v>
      </c>
      <c r="H120" s="113">
        <f t="shared" si="32"/>
        <v>705438.33847973403</v>
      </c>
      <c r="I120" s="122">
        <f t="shared" si="33"/>
        <v>705438.33847973403</v>
      </c>
      <c r="J120" s="54">
        <f t="shared" si="22"/>
        <v>0</v>
      </c>
      <c r="K120" s="54"/>
      <c r="L120" s="115"/>
      <c r="M120" s="54">
        <f t="shared" si="34"/>
        <v>0</v>
      </c>
      <c r="N120" s="115"/>
      <c r="O120" s="54">
        <f t="shared" si="35"/>
        <v>0</v>
      </c>
      <c r="P120" s="54">
        <f t="shared" si="36"/>
        <v>0</v>
      </c>
    </row>
    <row r="121" spans="2:16" ht="12.5">
      <c r="B121" s="7" t="str">
        <f t="shared" si="23"/>
        <v/>
      </c>
      <c r="C121" s="50">
        <f>IF(D93="","-",+C120+1)</f>
        <v>2046</v>
      </c>
      <c r="D121" s="12">
        <f>IF(F120+SUM(E$99:E120)=D$92,F120,D$92-SUM(E$99:E120))</f>
        <v>3579214</v>
      </c>
      <c r="E121" s="56">
        <f t="shared" si="29"/>
        <v>210543</v>
      </c>
      <c r="F121" s="55">
        <f t="shared" si="30"/>
        <v>3368671</v>
      </c>
      <c r="G121" s="55">
        <f t="shared" si="31"/>
        <v>3473942.5</v>
      </c>
      <c r="H121" s="113">
        <f t="shared" si="32"/>
        <v>677158.47437128832</v>
      </c>
      <c r="I121" s="122">
        <f t="shared" si="33"/>
        <v>677158.47437128832</v>
      </c>
      <c r="J121" s="54">
        <f t="shared" si="22"/>
        <v>0</v>
      </c>
      <c r="K121" s="54"/>
      <c r="L121" s="115"/>
      <c r="M121" s="54">
        <f t="shared" si="34"/>
        <v>0</v>
      </c>
      <c r="N121" s="115"/>
      <c r="O121" s="54">
        <f t="shared" si="35"/>
        <v>0</v>
      </c>
      <c r="P121" s="54">
        <f t="shared" si="36"/>
        <v>0</v>
      </c>
    </row>
    <row r="122" spans="2:16" ht="12.5">
      <c r="B122" s="7" t="str">
        <f t="shared" si="23"/>
        <v/>
      </c>
      <c r="C122" s="50">
        <f>IF(D93="","-",+C121+1)</f>
        <v>2047</v>
      </c>
      <c r="D122" s="12">
        <f>IF(F121+SUM(E$99:E121)=D$92,F121,D$92-SUM(E$99:E121))</f>
        <v>3368671</v>
      </c>
      <c r="E122" s="56">
        <f t="shared" si="29"/>
        <v>210543</v>
      </c>
      <c r="F122" s="55">
        <f t="shared" si="30"/>
        <v>3158128</v>
      </c>
      <c r="G122" s="55">
        <f t="shared" si="31"/>
        <v>3263399.5</v>
      </c>
      <c r="H122" s="113">
        <f t="shared" si="32"/>
        <v>648878.61026284262</v>
      </c>
      <c r="I122" s="122">
        <f t="shared" si="33"/>
        <v>648878.61026284262</v>
      </c>
      <c r="J122" s="54">
        <f t="shared" si="22"/>
        <v>0</v>
      </c>
      <c r="K122" s="54"/>
      <c r="L122" s="115"/>
      <c r="M122" s="54">
        <f t="shared" si="34"/>
        <v>0</v>
      </c>
      <c r="N122" s="115"/>
      <c r="O122" s="54">
        <f t="shared" si="35"/>
        <v>0</v>
      </c>
      <c r="P122" s="54">
        <f t="shared" si="36"/>
        <v>0</v>
      </c>
    </row>
    <row r="123" spans="2:16" ht="12.5">
      <c r="B123" s="7" t="str">
        <f t="shared" si="23"/>
        <v/>
      </c>
      <c r="C123" s="50">
        <f>IF(D93="","-",+C122+1)</f>
        <v>2048</v>
      </c>
      <c r="D123" s="12">
        <f>IF(F122+SUM(E$99:E122)=D$92,F122,D$92-SUM(E$99:E122))</f>
        <v>3158128</v>
      </c>
      <c r="E123" s="56">
        <f t="shared" si="29"/>
        <v>210543</v>
      </c>
      <c r="F123" s="55">
        <f t="shared" si="30"/>
        <v>2947585</v>
      </c>
      <c r="G123" s="55">
        <f t="shared" si="31"/>
        <v>3052856.5</v>
      </c>
      <c r="H123" s="113">
        <f t="shared" si="32"/>
        <v>620598.74615439691</v>
      </c>
      <c r="I123" s="122">
        <f t="shared" si="33"/>
        <v>620598.74615439691</v>
      </c>
      <c r="J123" s="54">
        <f t="shared" si="22"/>
        <v>0</v>
      </c>
      <c r="K123" s="54"/>
      <c r="L123" s="115"/>
      <c r="M123" s="54">
        <f t="shared" si="34"/>
        <v>0</v>
      </c>
      <c r="N123" s="115"/>
      <c r="O123" s="54">
        <f t="shared" si="35"/>
        <v>0</v>
      </c>
      <c r="P123" s="54">
        <f t="shared" si="36"/>
        <v>0</v>
      </c>
    </row>
    <row r="124" spans="2:16" ht="12.5">
      <c r="B124" s="7" t="str">
        <f t="shared" si="23"/>
        <v/>
      </c>
      <c r="C124" s="50">
        <f>IF(D93="","-",+C123+1)</f>
        <v>2049</v>
      </c>
      <c r="D124" s="12">
        <f>IF(F123+SUM(E$99:E123)=D$92,F123,D$92-SUM(E$99:E123))</f>
        <v>2947585</v>
      </c>
      <c r="E124" s="56">
        <f t="shared" si="29"/>
        <v>210543</v>
      </c>
      <c r="F124" s="55">
        <f t="shared" si="30"/>
        <v>2737042</v>
      </c>
      <c r="G124" s="55">
        <f t="shared" si="31"/>
        <v>2842313.5</v>
      </c>
      <c r="H124" s="113">
        <f t="shared" si="32"/>
        <v>592318.88204595121</v>
      </c>
      <c r="I124" s="122">
        <f t="shared" si="33"/>
        <v>592318.88204595121</v>
      </c>
      <c r="J124" s="54">
        <f t="shared" si="22"/>
        <v>0</v>
      </c>
      <c r="K124" s="54"/>
      <c r="L124" s="115"/>
      <c r="M124" s="54">
        <f t="shared" si="34"/>
        <v>0</v>
      </c>
      <c r="N124" s="115"/>
      <c r="O124" s="54">
        <f t="shared" si="35"/>
        <v>0</v>
      </c>
      <c r="P124" s="54">
        <f t="shared" si="36"/>
        <v>0</v>
      </c>
    </row>
    <row r="125" spans="2:16" ht="12.5">
      <c r="B125" s="7" t="str">
        <f t="shared" si="23"/>
        <v/>
      </c>
      <c r="C125" s="50">
        <f>IF(D93="","-",+C124+1)</f>
        <v>2050</v>
      </c>
      <c r="D125" s="12">
        <f>IF(F124+SUM(E$99:E124)=D$92,F124,D$92-SUM(E$99:E124))</f>
        <v>2737042</v>
      </c>
      <c r="E125" s="56">
        <f t="shared" si="29"/>
        <v>210543</v>
      </c>
      <c r="F125" s="55">
        <f t="shared" si="30"/>
        <v>2526499</v>
      </c>
      <c r="G125" s="55">
        <f t="shared" si="31"/>
        <v>2631770.5</v>
      </c>
      <c r="H125" s="113">
        <f t="shared" si="32"/>
        <v>564039.0179375055</v>
      </c>
      <c r="I125" s="122">
        <f t="shared" si="33"/>
        <v>564039.0179375055</v>
      </c>
      <c r="J125" s="54">
        <f t="shared" si="22"/>
        <v>0</v>
      </c>
      <c r="K125" s="54"/>
      <c r="L125" s="115"/>
      <c r="M125" s="54">
        <f t="shared" si="34"/>
        <v>0</v>
      </c>
      <c r="N125" s="115"/>
      <c r="O125" s="54">
        <f t="shared" si="35"/>
        <v>0</v>
      </c>
      <c r="P125" s="54">
        <f t="shared" si="36"/>
        <v>0</v>
      </c>
    </row>
    <row r="126" spans="2:16" ht="12.5">
      <c r="B126" s="7" t="str">
        <f t="shared" si="23"/>
        <v/>
      </c>
      <c r="C126" s="50">
        <f>IF(D93="","-",+C125+1)</f>
        <v>2051</v>
      </c>
      <c r="D126" s="12">
        <f>IF(F125+SUM(E$99:E125)=D$92,F125,D$92-SUM(E$99:E125))</f>
        <v>2526499</v>
      </c>
      <c r="E126" s="56">
        <f t="shared" si="29"/>
        <v>210543</v>
      </c>
      <c r="F126" s="55">
        <f t="shared" si="30"/>
        <v>2315956</v>
      </c>
      <c r="G126" s="55">
        <f t="shared" si="31"/>
        <v>2421227.5</v>
      </c>
      <c r="H126" s="113">
        <f t="shared" si="32"/>
        <v>535759.1538290598</v>
      </c>
      <c r="I126" s="122">
        <f t="shared" si="33"/>
        <v>535759.1538290598</v>
      </c>
      <c r="J126" s="54">
        <f t="shared" si="22"/>
        <v>0</v>
      </c>
      <c r="K126" s="54"/>
      <c r="L126" s="115"/>
      <c r="M126" s="54">
        <f t="shared" si="34"/>
        <v>0</v>
      </c>
      <c r="N126" s="115"/>
      <c r="O126" s="54">
        <f t="shared" si="35"/>
        <v>0</v>
      </c>
      <c r="P126" s="54">
        <f t="shared" si="36"/>
        <v>0</v>
      </c>
    </row>
    <row r="127" spans="2:16" ht="12.5">
      <c r="B127" s="7" t="str">
        <f t="shared" si="23"/>
        <v/>
      </c>
      <c r="C127" s="50">
        <f>IF(D93="","-",+C126+1)</f>
        <v>2052</v>
      </c>
      <c r="D127" s="12">
        <f>IF(F126+SUM(E$99:E126)=D$92,F126,D$92-SUM(E$99:E126))</f>
        <v>2315956</v>
      </c>
      <c r="E127" s="56">
        <f t="shared" si="29"/>
        <v>210543</v>
      </c>
      <c r="F127" s="55">
        <f t="shared" si="30"/>
        <v>2105413</v>
      </c>
      <c r="G127" s="55">
        <f t="shared" si="31"/>
        <v>2210684.5</v>
      </c>
      <c r="H127" s="113">
        <f t="shared" si="32"/>
        <v>507479.28972061403</v>
      </c>
      <c r="I127" s="122">
        <f t="shared" si="33"/>
        <v>507479.28972061403</v>
      </c>
      <c r="J127" s="54">
        <f t="shared" si="22"/>
        <v>0</v>
      </c>
      <c r="K127" s="54"/>
      <c r="L127" s="115"/>
      <c r="M127" s="54">
        <f t="shared" si="34"/>
        <v>0</v>
      </c>
      <c r="N127" s="115"/>
      <c r="O127" s="54">
        <f t="shared" si="35"/>
        <v>0</v>
      </c>
      <c r="P127" s="54">
        <f t="shared" si="36"/>
        <v>0</v>
      </c>
    </row>
    <row r="128" spans="2:16" ht="12.5">
      <c r="B128" s="7" t="str">
        <f t="shared" si="23"/>
        <v/>
      </c>
      <c r="C128" s="50">
        <f>IF(D93="","-",+C127+1)</f>
        <v>2053</v>
      </c>
      <c r="D128" s="12">
        <f>IF(F127+SUM(E$99:E127)=D$92,F127,D$92-SUM(E$99:E127))</f>
        <v>2105413</v>
      </c>
      <c r="E128" s="56">
        <f t="shared" si="29"/>
        <v>210543</v>
      </c>
      <c r="F128" s="55">
        <f t="shared" si="30"/>
        <v>1894870</v>
      </c>
      <c r="G128" s="55">
        <f t="shared" si="31"/>
        <v>2000141.5</v>
      </c>
      <c r="H128" s="113">
        <f t="shared" si="32"/>
        <v>479199.42561216833</v>
      </c>
      <c r="I128" s="122">
        <f t="shared" si="33"/>
        <v>479199.42561216833</v>
      </c>
      <c r="J128" s="54">
        <f t="shared" si="22"/>
        <v>0</v>
      </c>
      <c r="K128" s="54"/>
      <c r="L128" s="115"/>
      <c r="M128" s="54">
        <f t="shared" si="34"/>
        <v>0</v>
      </c>
      <c r="N128" s="115"/>
      <c r="O128" s="54">
        <f t="shared" si="35"/>
        <v>0</v>
      </c>
      <c r="P128" s="54">
        <f t="shared" si="36"/>
        <v>0</v>
      </c>
    </row>
    <row r="129" spans="2:16" ht="12.5">
      <c r="B129" s="7" t="str">
        <f t="shared" si="23"/>
        <v/>
      </c>
      <c r="C129" s="50">
        <f>IF(D93="","-",+C128+1)</f>
        <v>2054</v>
      </c>
      <c r="D129" s="12">
        <f>IF(F128+SUM(E$99:E128)=D$92,F128,D$92-SUM(E$99:E128))</f>
        <v>1894870</v>
      </c>
      <c r="E129" s="56">
        <f t="shared" si="29"/>
        <v>210543</v>
      </c>
      <c r="F129" s="55">
        <f t="shared" si="30"/>
        <v>1684327</v>
      </c>
      <c r="G129" s="55">
        <f t="shared" si="31"/>
        <v>1789598.5</v>
      </c>
      <c r="H129" s="113">
        <f t="shared" si="32"/>
        <v>450919.56150372268</v>
      </c>
      <c r="I129" s="122">
        <f t="shared" si="33"/>
        <v>450919.56150372268</v>
      </c>
      <c r="J129" s="54">
        <f t="shared" si="22"/>
        <v>0</v>
      </c>
      <c r="K129" s="54"/>
      <c r="L129" s="115"/>
      <c r="M129" s="54">
        <f t="shared" si="34"/>
        <v>0</v>
      </c>
      <c r="N129" s="115"/>
      <c r="O129" s="54">
        <f t="shared" si="35"/>
        <v>0</v>
      </c>
      <c r="P129" s="54">
        <f t="shared" si="36"/>
        <v>0</v>
      </c>
    </row>
    <row r="130" spans="2:16" ht="12.5">
      <c r="B130" s="7" t="str">
        <f t="shared" si="23"/>
        <v/>
      </c>
      <c r="C130" s="50">
        <f>IF(D93="","-",+C129+1)</f>
        <v>2055</v>
      </c>
      <c r="D130" s="12">
        <f>IF(F129+SUM(E$99:E129)=D$92,F129,D$92-SUM(E$99:E129))</f>
        <v>1684327</v>
      </c>
      <c r="E130" s="56">
        <f t="shared" si="29"/>
        <v>210543</v>
      </c>
      <c r="F130" s="55">
        <f t="shared" si="30"/>
        <v>1473784</v>
      </c>
      <c r="G130" s="55">
        <f t="shared" si="31"/>
        <v>1579055.5</v>
      </c>
      <c r="H130" s="113">
        <f t="shared" si="32"/>
        <v>422639.69739527698</v>
      </c>
      <c r="I130" s="122">
        <f t="shared" si="33"/>
        <v>422639.69739527698</v>
      </c>
      <c r="J130" s="54">
        <f t="shared" si="22"/>
        <v>0</v>
      </c>
      <c r="K130" s="54"/>
      <c r="L130" s="115"/>
      <c r="M130" s="54">
        <f t="shared" si="34"/>
        <v>0</v>
      </c>
      <c r="N130" s="115"/>
      <c r="O130" s="54">
        <f t="shared" si="35"/>
        <v>0</v>
      </c>
      <c r="P130" s="54">
        <f t="shared" si="36"/>
        <v>0</v>
      </c>
    </row>
    <row r="131" spans="2:16" ht="12.5">
      <c r="B131" s="7" t="str">
        <f t="shared" si="23"/>
        <v/>
      </c>
      <c r="C131" s="50">
        <f>IF(D93="","-",+C130+1)</f>
        <v>2056</v>
      </c>
      <c r="D131" s="12">
        <f>IF(F130+SUM(E$99:E130)=D$92,F130,D$92-SUM(E$99:E130))</f>
        <v>1473784</v>
      </c>
      <c r="E131" s="56">
        <f t="shared" si="29"/>
        <v>210543</v>
      </c>
      <c r="F131" s="55">
        <f t="shared" si="30"/>
        <v>1263241</v>
      </c>
      <c r="G131" s="55">
        <f t="shared" si="31"/>
        <v>1368512.5</v>
      </c>
      <c r="H131" s="113">
        <f t="shared" si="32"/>
        <v>394359.83328683127</v>
      </c>
      <c r="I131" s="122">
        <f t="shared" si="33"/>
        <v>394359.83328683127</v>
      </c>
      <c r="J131" s="54">
        <f t="shared" ref="J131:J154" si="37">+I540-H540</f>
        <v>0</v>
      </c>
      <c r="K131" s="54"/>
      <c r="L131" s="115"/>
      <c r="M131" s="54">
        <f t="shared" ref="M131:M154" si="38">IF(L540&lt;&gt;0,+H540-L540,0)</f>
        <v>0</v>
      </c>
      <c r="N131" s="115"/>
      <c r="O131" s="54">
        <f t="shared" ref="O131:O154" si="39">IF(N540&lt;&gt;0,+I540-N540,0)</f>
        <v>0</v>
      </c>
      <c r="P131" s="54">
        <f t="shared" ref="P131:P154" si="40">+O540-M540</f>
        <v>0</v>
      </c>
    </row>
    <row r="132" spans="2:16" ht="12.5">
      <c r="B132" s="7" t="str">
        <f t="shared" si="23"/>
        <v/>
      </c>
      <c r="C132" s="50">
        <f>IF(D93="","-",+C131+1)</f>
        <v>2057</v>
      </c>
      <c r="D132" s="12">
        <f>IF(F131+SUM(E$99:E131)=D$92,F131,D$92-SUM(E$99:E131))</f>
        <v>1263241</v>
      </c>
      <c r="E132" s="56">
        <f t="shared" si="29"/>
        <v>210543</v>
      </c>
      <c r="F132" s="55">
        <f t="shared" si="30"/>
        <v>1052698</v>
      </c>
      <c r="G132" s="55">
        <f t="shared" si="31"/>
        <v>1157969.5</v>
      </c>
      <c r="H132" s="113">
        <f t="shared" si="32"/>
        <v>366079.96917838551</v>
      </c>
      <c r="I132" s="122">
        <f t="shared" si="33"/>
        <v>366079.96917838551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 ht="12.5">
      <c r="B133" s="7" t="str">
        <f t="shared" si="23"/>
        <v/>
      </c>
      <c r="C133" s="50">
        <f>IF(D93="","-",+C132+1)</f>
        <v>2058</v>
      </c>
      <c r="D133" s="12">
        <f>IF(F132+SUM(E$99:E132)=D$92,F132,D$92-SUM(E$99:E132))</f>
        <v>1052698</v>
      </c>
      <c r="E133" s="56">
        <f t="shared" si="29"/>
        <v>210543</v>
      </c>
      <c r="F133" s="55">
        <f t="shared" si="30"/>
        <v>842155</v>
      </c>
      <c r="G133" s="55">
        <f t="shared" si="31"/>
        <v>947426.5</v>
      </c>
      <c r="H133" s="113">
        <f t="shared" si="32"/>
        <v>337800.1050699398</v>
      </c>
      <c r="I133" s="122">
        <f t="shared" si="33"/>
        <v>337800.1050699398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 ht="12.5">
      <c r="B134" s="7" t="str">
        <f t="shared" si="23"/>
        <v/>
      </c>
      <c r="C134" s="50">
        <f>IF(D93="","-",+C133+1)</f>
        <v>2059</v>
      </c>
      <c r="D134" s="12">
        <f>IF(F133+SUM(E$99:E133)=D$92,F133,D$92-SUM(E$99:E133))</f>
        <v>842155</v>
      </c>
      <c r="E134" s="56">
        <f t="shared" si="29"/>
        <v>210543</v>
      </c>
      <c r="F134" s="55">
        <f t="shared" si="30"/>
        <v>631612</v>
      </c>
      <c r="G134" s="55">
        <f t="shared" si="31"/>
        <v>736883.5</v>
      </c>
      <c r="H134" s="113">
        <f t="shared" si="32"/>
        <v>309520.2409614941</v>
      </c>
      <c r="I134" s="122">
        <f t="shared" si="33"/>
        <v>309520.2409614941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 ht="12.5">
      <c r="B135" s="7" t="str">
        <f t="shared" si="23"/>
        <v/>
      </c>
      <c r="C135" s="50">
        <f>IF(D93="","-",+C134+1)</f>
        <v>2060</v>
      </c>
      <c r="D135" s="12">
        <f>IF(F134+SUM(E$99:E134)=D$92,F134,D$92-SUM(E$99:E134))</f>
        <v>631612</v>
      </c>
      <c r="E135" s="56">
        <f t="shared" si="29"/>
        <v>210543</v>
      </c>
      <c r="F135" s="55">
        <f t="shared" si="30"/>
        <v>421069</v>
      </c>
      <c r="G135" s="55">
        <f t="shared" si="31"/>
        <v>526340.5</v>
      </c>
      <c r="H135" s="113">
        <f t="shared" si="32"/>
        <v>281240.37685304839</v>
      </c>
      <c r="I135" s="122">
        <f t="shared" si="33"/>
        <v>281240.37685304839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 ht="12.5">
      <c r="B136" s="7" t="str">
        <f t="shared" si="23"/>
        <v/>
      </c>
      <c r="C136" s="50">
        <f>IF(D93="","-",+C135+1)</f>
        <v>2061</v>
      </c>
      <c r="D136" s="12">
        <f>IF(F135+SUM(E$99:E135)=D$92,F135,D$92-SUM(E$99:E135))</f>
        <v>421069</v>
      </c>
      <c r="E136" s="56">
        <f t="shared" si="29"/>
        <v>210543</v>
      </c>
      <c r="F136" s="55">
        <f t="shared" si="30"/>
        <v>210526</v>
      </c>
      <c r="G136" s="55">
        <f t="shared" si="31"/>
        <v>315797.5</v>
      </c>
      <c r="H136" s="113">
        <f t="shared" si="32"/>
        <v>252960.51274460269</v>
      </c>
      <c r="I136" s="122">
        <f t="shared" si="33"/>
        <v>252960.51274460269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 ht="12.5">
      <c r="B137" s="7" t="str">
        <f t="shared" si="23"/>
        <v/>
      </c>
      <c r="C137" s="50">
        <f>IF(D93="","-",+C136+1)</f>
        <v>2062</v>
      </c>
      <c r="D137" s="12">
        <f>IF(F136+SUM(E$99:E136)=D$92,F136,D$92-SUM(E$99:E136))</f>
        <v>210526</v>
      </c>
      <c r="E137" s="56">
        <f t="shared" si="29"/>
        <v>210526</v>
      </c>
      <c r="F137" s="55">
        <f t="shared" si="30"/>
        <v>0</v>
      </c>
      <c r="G137" s="55">
        <f t="shared" si="31"/>
        <v>105263</v>
      </c>
      <c r="H137" s="113">
        <f t="shared" si="32"/>
        <v>224664.79034518992</v>
      </c>
      <c r="I137" s="122">
        <f t="shared" si="33"/>
        <v>224664.79034518992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 ht="12.5">
      <c r="B138" s="7" t="str">
        <f t="shared" si="23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29"/>
        <v>0</v>
      </c>
      <c r="F138" s="55">
        <f t="shared" si="30"/>
        <v>0</v>
      </c>
      <c r="G138" s="55">
        <f t="shared" si="31"/>
        <v>0</v>
      </c>
      <c r="H138" s="113">
        <f t="shared" si="32"/>
        <v>0</v>
      </c>
      <c r="I138" s="122">
        <f t="shared" si="33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 ht="12.5">
      <c r="B139" s="7" t="str">
        <f t="shared" si="23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29"/>
        <v>0</v>
      </c>
      <c r="F139" s="55">
        <f t="shared" si="30"/>
        <v>0</v>
      </c>
      <c r="G139" s="55">
        <f t="shared" si="31"/>
        <v>0</v>
      </c>
      <c r="H139" s="113">
        <f t="shared" si="32"/>
        <v>0</v>
      </c>
      <c r="I139" s="122">
        <f t="shared" si="33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 ht="12.5">
      <c r="B140" s="7" t="str">
        <f t="shared" si="23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29"/>
        <v>0</v>
      </c>
      <c r="F140" s="55">
        <f t="shared" si="30"/>
        <v>0</v>
      </c>
      <c r="G140" s="55">
        <f t="shared" si="31"/>
        <v>0</v>
      </c>
      <c r="H140" s="113">
        <f t="shared" si="32"/>
        <v>0</v>
      </c>
      <c r="I140" s="122">
        <f t="shared" si="33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 ht="12.5">
      <c r="B141" s="7" t="str">
        <f t="shared" si="23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29"/>
        <v>0</v>
      </c>
      <c r="F141" s="55">
        <f t="shared" si="30"/>
        <v>0</v>
      </c>
      <c r="G141" s="55">
        <f t="shared" si="31"/>
        <v>0</v>
      </c>
      <c r="H141" s="113">
        <f t="shared" si="32"/>
        <v>0</v>
      </c>
      <c r="I141" s="122">
        <f t="shared" si="33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 ht="12.5">
      <c r="B142" s="7" t="str">
        <f t="shared" si="23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29"/>
        <v>0</v>
      </c>
      <c r="F142" s="55">
        <f t="shared" si="30"/>
        <v>0</v>
      </c>
      <c r="G142" s="55">
        <f t="shared" si="31"/>
        <v>0</v>
      </c>
      <c r="H142" s="113">
        <f t="shared" si="32"/>
        <v>0</v>
      </c>
      <c r="I142" s="122">
        <f t="shared" si="33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 ht="12.5">
      <c r="B143" s="7" t="str">
        <f t="shared" si="23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29"/>
        <v>0</v>
      </c>
      <c r="F143" s="55">
        <f t="shared" si="30"/>
        <v>0</v>
      </c>
      <c r="G143" s="55">
        <f t="shared" si="31"/>
        <v>0</v>
      </c>
      <c r="H143" s="113">
        <f t="shared" si="32"/>
        <v>0</v>
      </c>
      <c r="I143" s="122">
        <f t="shared" si="33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 ht="12.5">
      <c r="B144" s="7" t="str">
        <f t="shared" si="23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29"/>
        <v>0</v>
      </c>
      <c r="F144" s="55">
        <f t="shared" si="30"/>
        <v>0</v>
      </c>
      <c r="G144" s="55">
        <f t="shared" si="31"/>
        <v>0</v>
      </c>
      <c r="H144" s="113">
        <f t="shared" si="32"/>
        <v>0</v>
      </c>
      <c r="I144" s="122">
        <f t="shared" si="33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 ht="12.5">
      <c r="B145" s="7" t="str">
        <f t="shared" si="23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29"/>
        <v>0</v>
      </c>
      <c r="F145" s="55">
        <f t="shared" si="30"/>
        <v>0</v>
      </c>
      <c r="G145" s="55">
        <f t="shared" si="31"/>
        <v>0</v>
      </c>
      <c r="H145" s="113">
        <f t="shared" si="32"/>
        <v>0</v>
      </c>
      <c r="I145" s="122">
        <f t="shared" si="33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 ht="12.5">
      <c r="B146" s="7" t="str">
        <f t="shared" si="23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29"/>
        <v>0</v>
      </c>
      <c r="F146" s="55">
        <f t="shared" si="30"/>
        <v>0</v>
      </c>
      <c r="G146" s="55">
        <f t="shared" si="31"/>
        <v>0</v>
      </c>
      <c r="H146" s="113">
        <f t="shared" si="32"/>
        <v>0</v>
      </c>
      <c r="I146" s="122">
        <f t="shared" si="33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 ht="12.5">
      <c r="B147" s="7" t="str">
        <f t="shared" si="23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29"/>
        <v>0</v>
      </c>
      <c r="F147" s="55">
        <f t="shared" si="30"/>
        <v>0</v>
      </c>
      <c r="G147" s="55">
        <f t="shared" si="31"/>
        <v>0</v>
      </c>
      <c r="H147" s="113">
        <f t="shared" si="32"/>
        <v>0</v>
      </c>
      <c r="I147" s="122">
        <f t="shared" si="33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 ht="12.5">
      <c r="B148" s="7" t="str">
        <f t="shared" si="23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29"/>
        <v>0</v>
      </c>
      <c r="F148" s="55">
        <f t="shared" si="30"/>
        <v>0</v>
      </c>
      <c r="G148" s="55">
        <f t="shared" si="31"/>
        <v>0</v>
      </c>
      <c r="H148" s="113">
        <f t="shared" si="32"/>
        <v>0</v>
      </c>
      <c r="I148" s="122">
        <f t="shared" si="33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 ht="12.5">
      <c r="B149" s="7" t="str">
        <f t="shared" si="23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29"/>
        <v>0</v>
      </c>
      <c r="F149" s="55">
        <f t="shared" si="30"/>
        <v>0</v>
      </c>
      <c r="G149" s="55">
        <f t="shared" si="31"/>
        <v>0</v>
      </c>
      <c r="H149" s="113">
        <f t="shared" si="32"/>
        <v>0</v>
      </c>
      <c r="I149" s="122">
        <f t="shared" si="33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 ht="12.5">
      <c r="B150" s="7" t="str">
        <f t="shared" si="23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29"/>
        <v>0</v>
      </c>
      <c r="F150" s="55">
        <f t="shared" si="30"/>
        <v>0</v>
      </c>
      <c r="G150" s="55">
        <f t="shared" si="31"/>
        <v>0</v>
      </c>
      <c r="H150" s="113">
        <f t="shared" si="32"/>
        <v>0</v>
      </c>
      <c r="I150" s="122">
        <f t="shared" si="33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 ht="12.5">
      <c r="B151" s="7" t="str">
        <f t="shared" si="23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29"/>
        <v>0</v>
      </c>
      <c r="F151" s="55">
        <f t="shared" si="30"/>
        <v>0</v>
      </c>
      <c r="G151" s="55">
        <f t="shared" si="31"/>
        <v>0</v>
      </c>
      <c r="H151" s="113">
        <f t="shared" si="32"/>
        <v>0</v>
      </c>
      <c r="I151" s="122">
        <f t="shared" si="33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 ht="12.5">
      <c r="B152" s="7" t="str">
        <f t="shared" si="23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29"/>
        <v>0</v>
      </c>
      <c r="F152" s="55">
        <f t="shared" si="30"/>
        <v>0</v>
      </c>
      <c r="G152" s="55">
        <f t="shared" si="31"/>
        <v>0</v>
      </c>
      <c r="H152" s="113">
        <f t="shared" si="32"/>
        <v>0</v>
      </c>
      <c r="I152" s="122">
        <f t="shared" si="33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 ht="12.5">
      <c r="B153" s="7" t="str">
        <f t="shared" si="23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29"/>
        <v>0</v>
      </c>
      <c r="F153" s="55">
        <f t="shared" si="30"/>
        <v>0</v>
      </c>
      <c r="G153" s="55">
        <f t="shared" si="31"/>
        <v>0</v>
      </c>
      <c r="H153" s="113">
        <f t="shared" si="32"/>
        <v>0</v>
      </c>
      <c r="I153" s="122">
        <f t="shared" si="33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3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29"/>
        <v>0</v>
      </c>
      <c r="F154" s="59">
        <f t="shared" si="30"/>
        <v>0</v>
      </c>
      <c r="G154" s="59">
        <f t="shared" si="31"/>
        <v>0</v>
      </c>
      <c r="H154" s="123">
        <f t="shared" si="32"/>
        <v>0</v>
      </c>
      <c r="I154" s="124">
        <f t="shared" si="33"/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 ht="12.5">
      <c r="C155" s="12" t="s">
        <v>77</v>
      </c>
      <c r="D155" s="14"/>
      <c r="E155" s="14">
        <f>SUM(E99:E154)</f>
        <v>8000617</v>
      </c>
      <c r="F155" s="14"/>
      <c r="G155" s="14"/>
      <c r="H155" s="14">
        <f>SUM(H99:H154)</f>
        <v>28955909.534471761</v>
      </c>
      <c r="I155" s="14">
        <f>SUM(I99:I154)</f>
        <v>28955909.534471761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6297-CA4A-4D1B-B596-D4A7C5264131}">
  <dimension ref="A1:V162"/>
  <sheetViews>
    <sheetView topLeftCell="A65"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33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331382.28379814484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331382.28379814484</v>
      </c>
      <c r="O6" s="1"/>
      <c r="P6" s="1"/>
    </row>
    <row r="7" spans="1:16" ht="13.5" thickBot="1">
      <c r="C7" s="26" t="s">
        <v>46</v>
      </c>
      <c r="D7" s="88" t="s">
        <v>454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382</v>
      </c>
      <c r="E9" s="442" t="s">
        <v>386</v>
      </c>
      <c r="F9" s="32"/>
      <c r="G9" s="452" t="s">
        <v>419</v>
      </c>
      <c r="H9" s="32"/>
      <c r="I9" s="33"/>
      <c r="J9" s="34"/>
      <c r="P9" s="1"/>
    </row>
    <row r="10" spans="1:16" ht="13">
      <c r="C10" s="128" t="s">
        <v>226</v>
      </c>
      <c r="D10" s="35">
        <v>695767.39013472036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10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18309.668161440011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453">
        <v>0</v>
      </c>
      <c r="E17" s="453">
        <v>0</v>
      </c>
      <c r="F17" s="453">
        <v>453</v>
      </c>
      <c r="G17" s="453">
        <v>25.762152486776909</v>
      </c>
      <c r="H17" s="453">
        <v>25.762152486776909</v>
      </c>
      <c r="I17" s="52">
        <f>H17-G17</f>
        <v>0</v>
      </c>
      <c r="J17" s="52"/>
      <c r="K17" s="117">
        <f>+G17</f>
        <v>25.762152486776909</v>
      </c>
      <c r="L17" s="53">
        <f t="shared" ref="L17" si="0">IF(K17&lt;&gt;0,+G17-K17,0)</f>
        <v>0</v>
      </c>
      <c r="M17" s="117">
        <f>+H17</f>
        <v>25.762152486776909</v>
      </c>
      <c r="N17" s="53">
        <f t="shared" ref="N17" si="1">IF(M17&lt;&gt;0,+H17-M17,0)</f>
        <v>0</v>
      </c>
      <c r="O17" s="54">
        <f t="shared" ref="O17" si="2">+N17-L17</f>
        <v>0</v>
      </c>
      <c r="P17" s="1"/>
    </row>
    <row r="18" spans="2:16" ht="13">
      <c r="B18" s="7" t="str">
        <f>IF(D18=F17,"","IU")</f>
        <v>IU</v>
      </c>
      <c r="C18" s="449">
        <f>IF(D11="","-",+C17+1)</f>
        <v>2025</v>
      </c>
      <c r="D18" s="453">
        <v>382759.11550926219</v>
      </c>
      <c r="E18" s="453">
        <v>382759.11550926219</v>
      </c>
      <c r="F18" s="453">
        <v>0</v>
      </c>
      <c r="G18" s="453">
        <v>404501.07612510771</v>
      </c>
      <c r="H18" s="453">
        <v>404501.07612510771</v>
      </c>
      <c r="I18" s="52">
        <f>H18-G18</f>
        <v>0</v>
      </c>
      <c r="J18" s="52"/>
      <c r="K18" s="324">
        <f>+G18</f>
        <v>404501.07612510771</v>
      </c>
      <c r="L18" s="54">
        <f t="shared" ref="L18" si="3">IF(K18&lt;&gt;0,+G18-K18,0)</f>
        <v>0</v>
      </c>
      <c r="M18" s="324">
        <f>+H18</f>
        <v>404501.07612510771</v>
      </c>
      <c r="N18" s="54">
        <f t="shared" ref="N18" si="4">IF(M18&lt;&gt;0,+H18-M18,0)</f>
        <v>0</v>
      </c>
      <c r="O18" s="54">
        <f t="shared" ref="O18" si="5"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313008.27462545817</v>
      </c>
      <c r="E19" s="56">
        <f t="shared" ref="E19:E71" si="6">IF(+I$14&lt;F18,I$14,D19)</f>
        <v>313008.27462545817</v>
      </c>
      <c r="F19" s="55">
        <f t="shared" ref="F19:F71" si="7">+D19-E19</f>
        <v>0</v>
      </c>
      <c r="G19" s="57">
        <f t="shared" ref="G19:G71" si="8">(D19+F19)/2*I$12+E19</f>
        <v>331382.28379814484</v>
      </c>
      <c r="H19" s="42">
        <f t="shared" ref="H19:H71" si="9">+(D19+F19)/2*I$13+E19</f>
        <v>331382.28379814484</v>
      </c>
      <c r="I19" s="52">
        <f t="shared" ref="I19:I71" si="10">H19-G19</f>
        <v>0</v>
      </c>
      <c r="J19" s="52"/>
      <c r="K19" s="115"/>
      <c r="L19" s="54">
        <f t="shared" ref="L19:L72" si="11">IF(K19&lt;&gt;0,+G19-K19,0)</f>
        <v>0</v>
      </c>
      <c r="M19" s="115"/>
      <c r="N19" s="54">
        <f t="shared" ref="N19:N72" si="12">IF(M19&lt;&gt;0,+H19-M19,0)</f>
        <v>0</v>
      </c>
      <c r="O19" s="54">
        <f t="shared" ref="O19:O72" si="13">+N19-L19</f>
        <v>0</v>
      </c>
      <c r="P19" s="1"/>
    </row>
    <row r="20" spans="2:16" ht="12.5">
      <c r="B20" s="7" t="str">
        <f t="shared" ref="B20:B72" si="14">IF(D20=F19,"","IU")</f>
        <v/>
      </c>
      <c r="C20" s="50">
        <f>IF(D11="","-",+C19+1)</f>
        <v>2027</v>
      </c>
      <c r="D20" s="55">
        <f>IF(F19+SUM(E$17:E19)=D$10,F19,D$10-SUM(E$17:E19))</f>
        <v>0</v>
      </c>
      <c r="E20" s="56">
        <f t="shared" si="6"/>
        <v>0</v>
      </c>
      <c r="F20" s="55">
        <f t="shared" si="7"/>
        <v>0</v>
      </c>
      <c r="G20" s="57">
        <f t="shared" si="8"/>
        <v>0</v>
      </c>
      <c r="H20" s="42">
        <f t="shared" si="9"/>
        <v>0</v>
      </c>
      <c r="I20" s="52">
        <f t="shared" si="10"/>
        <v>0</v>
      </c>
      <c r="J20" s="52"/>
      <c r="K20" s="115"/>
      <c r="L20" s="54">
        <f t="shared" si="11"/>
        <v>0</v>
      </c>
      <c r="M20" s="115"/>
      <c r="N20" s="54">
        <f t="shared" si="12"/>
        <v>0</v>
      </c>
      <c r="O20" s="54">
        <f t="shared" si="13"/>
        <v>0</v>
      </c>
      <c r="P20" s="1"/>
    </row>
    <row r="21" spans="2:16" ht="12.5">
      <c r="B21" s="7" t="str">
        <f t="shared" si="14"/>
        <v/>
      </c>
      <c r="C21" s="50">
        <f>IF(D11="","-",+C20+1)</f>
        <v>2028</v>
      </c>
      <c r="D21" s="55">
        <f>IF(F20+SUM(E$17:E20)=D$10,F20,D$10-SUM(E$17:E20))</f>
        <v>0</v>
      </c>
      <c r="E21" s="56">
        <f t="shared" si="6"/>
        <v>0</v>
      </c>
      <c r="F21" s="55">
        <f t="shared" si="7"/>
        <v>0</v>
      </c>
      <c r="G21" s="57">
        <f t="shared" si="8"/>
        <v>0</v>
      </c>
      <c r="H21" s="42">
        <f t="shared" si="9"/>
        <v>0</v>
      </c>
      <c r="I21" s="52">
        <f t="shared" si="10"/>
        <v>0</v>
      </c>
      <c r="J21" s="52"/>
      <c r="K21" s="115"/>
      <c r="L21" s="54">
        <f t="shared" si="11"/>
        <v>0</v>
      </c>
      <c r="M21" s="115"/>
      <c r="N21" s="54">
        <f t="shared" si="12"/>
        <v>0</v>
      </c>
      <c r="O21" s="54">
        <f t="shared" si="13"/>
        <v>0</v>
      </c>
      <c r="P21" s="1"/>
    </row>
    <row r="22" spans="2:16" ht="12.5">
      <c r="B22" s="7" t="str">
        <f t="shared" si="14"/>
        <v/>
      </c>
      <c r="C22" s="50">
        <f>IF(D11="","-",+C21+1)</f>
        <v>2029</v>
      </c>
      <c r="D22" s="55">
        <f>IF(F21+SUM(E$17:E21)=D$10,F21,D$10-SUM(E$17:E21))</f>
        <v>0</v>
      </c>
      <c r="E22" s="56">
        <f t="shared" si="6"/>
        <v>0</v>
      </c>
      <c r="F22" s="55">
        <f t="shared" si="7"/>
        <v>0</v>
      </c>
      <c r="G22" s="57">
        <f t="shared" si="8"/>
        <v>0</v>
      </c>
      <c r="H22" s="42">
        <f t="shared" si="9"/>
        <v>0</v>
      </c>
      <c r="I22" s="52">
        <f t="shared" si="10"/>
        <v>0</v>
      </c>
      <c r="J22" s="52"/>
      <c r="K22" s="115"/>
      <c r="L22" s="54">
        <f t="shared" si="11"/>
        <v>0</v>
      </c>
      <c r="M22" s="115"/>
      <c r="N22" s="54">
        <f t="shared" si="12"/>
        <v>0</v>
      </c>
      <c r="O22" s="54">
        <f t="shared" si="13"/>
        <v>0</v>
      </c>
      <c r="P22" s="1"/>
    </row>
    <row r="23" spans="2:16" ht="12.5">
      <c r="B23" s="7" t="str">
        <f t="shared" si="14"/>
        <v/>
      </c>
      <c r="C23" s="50">
        <f>IF(D11="","-",+C22+1)</f>
        <v>2030</v>
      </c>
      <c r="D23" s="55">
        <f>IF(F22+SUM(E$17:E22)=D$10,F22,D$10-SUM(E$17:E22))</f>
        <v>0</v>
      </c>
      <c r="E23" s="56">
        <f t="shared" si="6"/>
        <v>0</v>
      </c>
      <c r="F23" s="55">
        <f t="shared" si="7"/>
        <v>0</v>
      </c>
      <c r="G23" s="57">
        <f t="shared" si="8"/>
        <v>0</v>
      </c>
      <c r="H23" s="42">
        <f t="shared" si="9"/>
        <v>0</v>
      </c>
      <c r="I23" s="52">
        <f t="shared" si="10"/>
        <v>0</v>
      </c>
      <c r="J23" s="52"/>
      <c r="K23" s="115"/>
      <c r="L23" s="54">
        <f t="shared" si="11"/>
        <v>0</v>
      </c>
      <c r="M23" s="115"/>
      <c r="N23" s="54">
        <f t="shared" si="12"/>
        <v>0</v>
      </c>
      <c r="O23" s="54">
        <f t="shared" si="13"/>
        <v>0</v>
      </c>
      <c r="P23" s="1"/>
    </row>
    <row r="24" spans="2:16" ht="12.5">
      <c r="B24" s="7" t="str">
        <f t="shared" si="14"/>
        <v/>
      </c>
      <c r="C24" s="50">
        <f>IF(D11="","-",+C23+1)</f>
        <v>2031</v>
      </c>
      <c r="D24" s="55">
        <f>IF(F23+SUM(E$17:E23)=D$10,F23,D$10-SUM(E$17:E23))</f>
        <v>0</v>
      </c>
      <c r="E24" s="56">
        <f t="shared" si="6"/>
        <v>0</v>
      </c>
      <c r="F24" s="55">
        <f t="shared" si="7"/>
        <v>0</v>
      </c>
      <c r="G24" s="57">
        <f t="shared" si="8"/>
        <v>0</v>
      </c>
      <c r="H24" s="42">
        <f t="shared" si="9"/>
        <v>0</v>
      </c>
      <c r="I24" s="52">
        <f t="shared" si="10"/>
        <v>0</v>
      </c>
      <c r="J24" s="52"/>
      <c r="K24" s="115"/>
      <c r="L24" s="54">
        <f t="shared" si="11"/>
        <v>0</v>
      </c>
      <c r="M24" s="115"/>
      <c r="N24" s="54">
        <f t="shared" si="12"/>
        <v>0</v>
      </c>
      <c r="O24" s="54">
        <f t="shared" si="13"/>
        <v>0</v>
      </c>
      <c r="P24" s="1"/>
    </row>
    <row r="25" spans="2:16" ht="12.5">
      <c r="B25" s="7" t="str">
        <f t="shared" si="14"/>
        <v/>
      </c>
      <c r="C25" s="50">
        <f>IF(D11="","-",+C24+1)</f>
        <v>2032</v>
      </c>
      <c r="D25" s="55">
        <f>IF(F24+SUM(E$17:E24)=D$10,F24,D$10-SUM(E$17:E24))</f>
        <v>0</v>
      </c>
      <c r="E25" s="56">
        <f t="shared" si="6"/>
        <v>0</v>
      </c>
      <c r="F25" s="55">
        <f t="shared" si="7"/>
        <v>0</v>
      </c>
      <c r="G25" s="57">
        <f t="shared" si="8"/>
        <v>0</v>
      </c>
      <c r="H25" s="42">
        <f t="shared" si="9"/>
        <v>0</v>
      </c>
      <c r="I25" s="52">
        <f t="shared" si="10"/>
        <v>0</v>
      </c>
      <c r="J25" s="52"/>
      <c r="K25" s="115"/>
      <c r="L25" s="54">
        <f t="shared" si="11"/>
        <v>0</v>
      </c>
      <c r="M25" s="115"/>
      <c r="N25" s="54">
        <f t="shared" si="12"/>
        <v>0</v>
      </c>
      <c r="O25" s="54">
        <f t="shared" si="13"/>
        <v>0</v>
      </c>
      <c r="P25" s="1"/>
    </row>
    <row r="26" spans="2:16" ht="12.5">
      <c r="B26" s="7" t="str">
        <f t="shared" si="14"/>
        <v/>
      </c>
      <c r="C26" s="50">
        <f>IF(D11="","-",+C25+1)</f>
        <v>2033</v>
      </c>
      <c r="D26" s="55">
        <f>IF(F25+SUM(E$17:E25)=D$10,F25,D$10-SUM(E$17:E25))</f>
        <v>0</v>
      </c>
      <c r="E26" s="56">
        <f t="shared" si="6"/>
        <v>0</v>
      </c>
      <c r="F26" s="55">
        <f t="shared" si="7"/>
        <v>0</v>
      </c>
      <c r="G26" s="57">
        <f t="shared" si="8"/>
        <v>0</v>
      </c>
      <c r="H26" s="42">
        <f t="shared" si="9"/>
        <v>0</v>
      </c>
      <c r="I26" s="52">
        <f t="shared" si="10"/>
        <v>0</v>
      </c>
      <c r="J26" s="52"/>
      <c r="K26" s="115"/>
      <c r="L26" s="54">
        <f t="shared" si="11"/>
        <v>0</v>
      </c>
      <c r="M26" s="115"/>
      <c r="N26" s="54">
        <f t="shared" si="12"/>
        <v>0</v>
      </c>
      <c r="O26" s="54">
        <f t="shared" si="13"/>
        <v>0</v>
      </c>
      <c r="P26" s="1"/>
    </row>
    <row r="27" spans="2:16" ht="12.5">
      <c r="B27" s="7" t="str">
        <f t="shared" si="14"/>
        <v/>
      </c>
      <c r="C27" s="50">
        <f>IF(D11="","-",+C26+1)</f>
        <v>2034</v>
      </c>
      <c r="D27" s="55">
        <f>IF(F26+SUM(E$17:E26)=D$10,F26,D$10-SUM(E$17:E26))</f>
        <v>0</v>
      </c>
      <c r="E27" s="56">
        <f t="shared" si="6"/>
        <v>0</v>
      </c>
      <c r="F27" s="55">
        <f t="shared" si="7"/>
        <v>0</v>
      </c>
      <c r="G27" s="57">
        <f t="shared" si="8"/>
        <v>0</v>
      </c>
      <c r="H27" s="42">
        <f t="shared" si="9"/>
        <v>0</v>
      </c>
      <c r="I27" s="52">
        <f t="shared" si="10"/>
        <v>0</v>
      </c>
      <c r="J27" s="52"/>
      <c r="K27" s="115"/>
      <c r="L27" s="54">
        <f t="shared" si="11"/>
        <v>0</v>
      </c>
      <c r="M27" s="115"/>
      <c r="N27" s="54">
        <f t="shared" si="12"/>
        <v>0</v>
      </c>
      <c r="O27" s="54">
        <f t="shared" si="13"/>
        <v>0</v>
      </c>
      <c r="P27" s="1"/>
    </row>
    <row r="28" spans="2:16" ht="12.5">
      <c r="B28" s="7" t="str">
        <f t="shared" si="14"/>
        <v/>
      </c>
      <c r="C28" s="50">
        <f>IF(D11="","-",+C27+1)</f>
        <v>2035</v>
      </c>
      <c r="D28" s="55">
        <f>IF(F27+SUM(E$17:E27)=D$10,F27,D$10-SUM(E$17:E27))</f>
        <v>0</v>
      </c>
      <c r="E28" s="56">
        <f t="shared" si="6"/>
        <v>0</v>
      </c>
      <c r="F28" s="55">
        <f t="shared" si="7"/>
        <v>0</v>
      </c>
      <c r="G28" s="57">
        <f t="shared" si="8"/>
        <v>0</v>
      </c>
      <c r="H28" s="42">
        <f t="shared" si="9"/>
        <v>0</v>
      </c>
      <c r="I28" s="52">
        <f t="shared" si="10"/>
        <v>0</v>
      </c>
      <c r="J28" s="52"/>
      <c r="K28" s="115"/>
      <c r="L28" s="54">
        <f t="shared" si="11"/>
        <v>0</v>
      </c>
      <c r="M28" s="115"/>
      <c r="N28" s="54">
        <f t="shared" si="12"/>
        <v>0</v>
      </c>
      <c r="O28" s="54">
        <f t="shared" si="13"/>
        <v>0</v>
      </c>
      <c r="P28" s="1"/>
    </row>
    <row r="29" spans="2:16" ht="12.5">
      <c r="B29" s="7" t="str">
        <f t="shared" si="14"/>
        <v/>
      </c>
      <c r="C29" s="50">
        <f>IF(D11="","-",+C28+1)</f>
        <v>2036</v>
      </c>
      <c r="D29" s="55">
        <f>IF(F28+SUM(E$17:E28)=D$10,F28,D$10-SUM(E$17:E28))</f>
        <v>0</v>
      </c>
      <c r="E29" s="56">
        <f t="shared" si="6"/>
        <v>0</v>
      </c>
      <c r="F29" s="55">
        <f t="shared" si="7"/>
        <v>0</v>
      </c>
      <c r="G29" s="57">
        <f t="shared" si="8"/>
        <v>0</v>
      </c>
      <c r="H29" s="42">
        <f t="shared" si="9"/>
        <v>0</v>
      </c>
      <c r="I29" s="52">
        <f t="shared" si="10"/>
        <v>0</v>
      </c>
      <c r="J29" s="52"/>
      <c r="K29" s="115"/>
      <c r="L29" s="54">
        <f t="shared" si="11"/>
        <v>0</v>
      </c>
      <c r="M29" s="115"/>
      <c r="N29" s="54">
        <f t="shared" si="12"/>
        <v>0</v>
      </c>
      <c r="O29" s="54">
        <f t="shared" si="13"/>
        <v>0</v>
      </c>
      <c r="P29" s="1"/>
    </row>
    <row r="30" spans="2:16" ht="12.5">
      <c r="B30" s="7" t="str">
        <f t="shared" si="14"/>
        <v/>
      </c>
      <c r="C30" s="50">
        <f>IF(D11="","-",+C29+1)</f>
        <v>2037</v>
      </c>
      <c r="D30" s="55">
        <f>IF(F29+SUM(E$17:E29)=D$10,F29,D$10-SUM(E$17:E29))</f>
        <v>0</v>
      </c>
      <c r="E30" s="56">
        <f t="shared" si="6"/>
        <v>0</v>
      </c>
      <c r="F30" s="55">
        <f t="shared" si="7"/>
        <v>0</v>
      </c>
      <c r="G30" s="57">
        <f t="shared" si="8"/>
        <v>0</v>
      </c>
      <c r="H30" s="42">
        <f t="shared" si="9"/>
        <v>0</v>
      </c>
      <c r="I30" s="52">
        <f t="shared" si="10"/>
        <v>0</v>
      </c>
      <c r="J30" s="52"/>
      <c r="K30" s="115"/>
      <c r="L30" s="54">
        <f t="shared" si="11"/>
        <v>0</v>
      </c>
      <c r="M30" s="115"/>
      <c r="N30" s="54">
        <f t="shared" si="12"/>
        <v>0</v>
      </c>
      <c r="O30" s="54">
        <f t="shared" si="13"/>
        <v>0</v>
      </c>
      <c r="P30" s="1"/>
    </row>
    <row r="31" spans="2:16" ht="12.5">
      <c r="B31" s="7" t="str">
        <f t="shared" si="14"/>
        <v/>
      </c>
      <c r="C31" s="50">
        <f>IF(D11="","-",+C30+1)</f>
        <v>2038</v>
      </c>
      <c r="D31" s="55">
        <f>IF(F30+SUM(E$17:E30)=D$10,F30,D$10-SUM(E$17:E30))</f>
        <v>0</v>
      </c>
      <c r="E31" s="56">
        <f t="shared" si="6"/>
        <v>0</v>
      </c>
      <c r="F31" s="55">
        <f t="shared" si="7"/>
        <v>0</v>
      </c>
      <c r="G31" s="57">
        <f t="shared" si="8"/>
        <v>0</v>
      </c>
      <c r="H31" s="42">
        <f t="shared" si="9"/>
        <v>0</v>
      </c>
      <c r="I31" s="52">
        <f t="shared" si="10"/>
        <v>0</v>
      </c>
      <c r="J31" s="52"/>
      <c r="K31" s="115"/>
      <c r="L31" s="54">
        <f t="shared" si="11"/>
        <v>0</v>
      </c>
      <c r="M31" s="115"/>
      <c r="N31" s="54">
        <f t="shared" si="12"/>
        <v>0</v>
      </c>
      <c r="O31" s="54">
        <f t="shared" si="13"/>
        <v>0</v>
      </c>
      <c r="P31" s="1"/>
    </row>
    <row r="32" spans="2:16" ht="12.5">
      <c r="B32" s="7" t="str">
        <f t="shared" si="14"/>
        <v/>
      </c>
      <c r="C32" s="50">
        <f>IF(D11="","-",+C31+1)</f>
        <v>2039</v>
      </c>
      <c r="D32" s="55">
        <f>IF(F31+SUM(E$17:E31)=D$10,F31,D$10-SUM(E$17:E31))</f>
        <v>0</v>
      </c>
      <c r="E32" s="56">
        <f t="shared" si="6"/>
        <v>0</v>
      </c>
      <c r="F32" s="55">
        <f t="shared" si="7"/>
        <v>0</v>
      </c>
      <c r="G32" s="57">
        <f t="shared" si="8"/>
        <v>0</v>
      </c>
      <c r="H32" s="42">
        <f t="shared" si="9"/>
        <v>0</v>
      </c>
      <c r="I32" s="52">
        <f t="shared" si="10"/>
        <v>0</v>
      </c>
      <c r="J32" s="52"/>
      <c r="K32" s="115"/>
      <c r="L32" s="54">
        <f t="shared" si="11"/>
        <v>0</v>
      </c>
      <c r="M32" s="115"/>
      <c r="N32" s="54">
        <f t="shared" si="12"/>
        <v>0</v>
      </c>
      <c r="O32" s="54">
        <f t="shared" si="13"/>
        <v>0</v>
      </c>
      <c r="P32" s="1"/>
    </row>
    <row r="33" spans="2:16" ht="12.5">
      <c r="B33" s="7" t="str">
        <f t="shared" si="14"/>
        <v/>
      </c>
      <c r="C33" s="50">
        <f>IF(D11="","-",+C32+1)</f>
        <v>2040</v>
      </c>
      <c r="D33" s="55">
        <f>IF(F32+SUM(E$17:E32)=D$10,F32,D$10-SUM(E$17:E32))</f>
        <v>0</v>
      </c>
      <c r="E33" s="56">
        <f t="shared" si="6"/>
        <v>0</v>
      </c>
      <c r="F33" s="55">
        <f t="shared" si="7"/>
        <v>0</v>
      </c>
      <c r="G33" s="57">
        <f t="shared" si="8"/>
        <v>0</v>
      </c>
      <c r="H33" s="42">
        <f t="shared" si="9"/>
        <v>0</v>
      </c>
      <c r="I33" s="52">
        <f t="shared" si="10"/>
        <v>0</v>
      </c>
      <c r="J33" s="52"/>
      <c r="K33" s="115"/>
      <c r="L33" s="54">
        <f t="shared" si="11"/>
        <v>0</v>
      </c>
      <c r="M33" s="115"/>
      <c r="N33" s="54">
        <f t="shared" si="12"/>
        <v>0</v>
      </c>
      <c r="O33" s="54">
        <f t="shared" si="13"/>
        <v>0</v>
      </c>
      <c r="P33" s="1"/>
    </row>
    <row r="34" spans="2:16" ht="12.5">
      <c r="B34" s="7" t="str">
        <f t="shared" si="14"/>
        <v/>
      </c>
      <c r="C34" s="50">
        <f>IF(D11="","-",+C33+1)</f>
        <v>2041</v>
      </c>
      <c r="D34" s="55">
        <f>IF(F33+SUM(E$17:E33)=D$10,F33,D$10-SUM(E$17:E33))</f>
        <v>0</v>
      </c>
      <c r="E34" s="56">
        <f t="shared" si="6"/>
        <v>0</v>
      </c>
      <c r="F34" s="55">
        <f t="shared" si="7"/>
        <v>0</v>
      </c>
      <c r="G34" s="57">
        <f t="shared" si="8"/>
        <v>0</v>
      </c>
      <c r="H34" s="42">
        <f t="shared" si="9"/>
        <v>0</v>
      </c>
      <c r="I34" s="52">
        <f t="shared" si="10"/>
        <v>0</v>
      </c>
      <c r="J34" s="52"/>
      <c r="K34" s="115"/>
      <c r="L34" s="54">
        <f t="shared" si="11"/>
        <v>0</v>
      </c>
      <c r="M34" s="115"/>
      <c r="N34" s="54">
        <f t="shared" si="12"/>
        <v>0</v>
      </c>
      <c r="O34" s="54">
        <f t="shared" si="13"/>
        <v>0</v>
      </c>
      <c r="P34" s="1"/>
    </row>
    <row r="35" spans="2:16" ht="12.5">
      <c r="B35" s="7" t="str">
        <f t="shared" si="14"/>
        <v/>
      </c>
      <c r="C35" s="50">
        <f>IF(D11="","-",+C34+1)</f>
        <v>2042</v>
      </c>
      <c r="D35" s="55">
        <f>IF(F34+SUM(E$17:E34)=D$10,F34,D$10-SUM(E$17:E34))</f>
        <v>0</v>
      </c>
      <c r="E35" s="56">
        <f t="shared" si="6"/>
        <v>0</v>
      </c>
      <c r="F35" s="55">
        <f t="shared" si="7"/>
        <v>0</v>
      </c>
      <c r="G35" s="57">
        <f t="shared" si="8"/>
        <v>0</v>
      </c>
      <c r="H35" s="42">
        <f t="shared" si="9"/>
        <v>0</v>
      </c>
      <c r="I35" s="52">
        <f t="shared" si="10"/>
        <v>0</v>
      </c>
      <c r="J35" s="52"/>
      <c r="K35" s="115"/>
      <c r="L35" s="54">
        <f t="shared" si="11"/>
        <v>0</v>
      </c>
      <c r="M35" s="115"/>
      <c r="N35" s="54">
        <f t="shared" si="12"/>
        <v>0</v>
      </c>
      <c r="O35" s="54">
        <f t="shared" si="13"/>
        <v>0</v>
      </c>
      <c r="P35" s="1"/>
    </row>
    <row r="36" spans="2:16" ht="12.5">
      <c r="B36" s="7" t="str">
        <f t="shared" si="14"/>
        <v/>
      </c>
      <c r="C36" s="50">
        <f>IF(D11="","-",+C35+1)</f>
        <v>2043</v>
      </c>
      <c r="D36" s="55">
        <f>IF(F35+SUM(E$17:E35)=D$10,F35,D$10-SUM(E$17:E35))</f>
        <v>0</v>
      </c>
      <c r="E36" s="56">
        <f t="shared" si="6"/>
        <v>0</v>
      </c>
      <c r="F36" s="55">
        <f t="shared" si="7"/>
        <v>0</v>
      </c>
      <c r="G36" s="57">
        <f t="shared" si="8"/>
        <v>0</v>
      </c>
      <c r="H36" s="42">
        <f t="shared" si="9"/>
        <v>0</v>
      </c>
      <c r="I36" s="52">
        <f t="shared" si="10"/>
        <v>0</v>
      </c>
      <c r="J36" s="52"/>
      <c r="K36" s="115"/>
      <c r="L36" s="54">
        <f t="shared" si="11"/>
        <v>0</v>
      </c>
      <c r="M36" s="115"/>
      <c r="N36" s="54">
        <f t="shared" si="12"/>
        <v>0</v>
      </c>
      <c r="O36" s="54">
        <f t="shared" si="13"/>
        <v>0</v>
      </c>
      <c r="P36" s="1"/>
    </row>
    <row r="37" spans="2:16" ht="12.5">
      <c r="B37" s="7" t="str">
        <f t="shared" si="14"/>
        <v/>
      </c>
      <c r="C37" s="50">
        <f>IF(D11="","-",+C36+1)</f>
        <v>2044</v>
      </c>
      <c r="D37" s="55">
        <f>IF(F36+SUM(E$17:E36)=D$10,F36,D$10-SUM(E$17:E36))</f>
        <v>0</v>
      </c>
      <c r="E37" s="56">
        <f t="shared" si="6"/>
        <v>0</v>
      </c>
      <c r="F37" s="55">
        <f t="shared" si="7"/>
        <v>0</v>
      </c>
      <c r="G37" s="57">
        <f t="shared" si="8"/>
        <v>0</v>
      </c>
      <c r="H37" s="42">
        <f t="shared" si="9"/>
        <v>0</v>
      </c>
      <c r="I37" s="52">
        <f t="shared" si="10"/>
        <v>0</v>
      </c>
      <c r="J37" s="52"/>
      <c r="K37" s="115"/>
      <c r="L37" s="54">
        <f t="shared" si="11"/>
        <v>0</v>
      </c>
      <c r="M37" s="115"/>
      <c r="N37" s="54">
        <f t="shared" si="12"/>
        <v>0</v>
      </c>
      <c r="O37" s="54">
        <f t="shared" si="13"/>
        <v>0</v>
      </c>
      <c r="P37" s="1"/>
    </row>
    <row r="38" spans="2:16" ht="12.5">
      <c r="B38" s="7" t="str">
        <f t="shared" si="14"/>
        <v/>
      </c>
      <c r="C38" s="50">
        <f>IF(D11="","-",+C37+1)</f>
        <v>2045</v>
      </c>
      <c r="D38" s="55">
        <f>IF(F37+SUM(E$17:E37)=D$10,F37,D$10-SUM(E$17:E37))</f>
        <v>0</v>
      </c>
      <c r="E38" s="56">
        <f t="shared" si="6"/>
        <v>0</v>
      </c>
      <c r="F38" s="55">
        <f t="shared" si="7"/>
        <v>0</v>
      </c>
      <c r="G38" s="57">
        <f t="shared" si="8"/>
        <v>0</v>
      </c>
      <c r="H38" s="42">
        <f t="shared" si="9"/>
        <v>0</v>
      </c>
      <c r="I38" s="52">
        <f t="shared" si="10"/>
        <v>0</v>
      </c>
      <c r="J38" s="52"/>
      <c r="K38" s="115"/>
      <c r="L38" s="54">
        <f t="shared" si="11"/>
        <v>0</v>
      </c>
      <c r="M38" s="115"/>
      <c r="N38" s="54">
        <f t="shared" si="12"/>
        <v>0</v>
      </c>
      <c r="O38" s="54">
        <f t="shared" si="13"/>
        <v>0</v>
      </c>
      <c r="P38" s="1"/>
    </row>
    <row r="39" spans="2:16" ht="12.5">
      <c r="B39" s="7" t="str">
        <f t="shared" si="14"/>
        <v/>
      </c>
      <c r="C39" s="50">
        <f>IF(D11="","-",+C38+1)</f>
        <v>2046</v>
      </c>
      <c r="D39" s="55">
        <f>IF(F38+SUM(E$17:E38)=D$10,F38,D$10-SUM(E$17:E38))</f>
        <v>0</v>
      </c>
      <c r="E39" s="56">
        <f t="shared" si="6"/>
        <v>0</v>
      </c>
      <c r="F39" s="55">
        <f t="shared" si="7"/>
        <v>0</v>
      </c>
      <c r="G39" s="57">
        <f t="shared" si="8"/>
        <v>0</v>
      </c>
      <c r="H39" s="42">
        <f t="shared" si="9"/>
        <v>0</v>
      </c>
      <c r="I39" s="52">
        <f t="shared" si="10"/>
        <v>0</v>
      </c>
      <c r="J39" s="52"/>
      <c r="K39" s="115"/>
      <c r="L39" s="54">
        <f t="shared" si="11"/>
        <v>0</v>
      </c>
      <c r="M39" s="115"/>
      <c r="N39" s="54">
        <f t="shared" si="12"/>
        <v>0</v>
      </c>
      <c r="O39" s="54">
        <f t="shared" si="13"/>
        <v>0</v>
      </c>
      <c r="P39" s="1"/>
    </row>
    <row r="40" spans="2:16" ht="12.5">
      <c r="B40" s="7" t="str">
        <f t="shared" si="14"/>
        <v/>
      </c>
      <c r="C40" s="50">
        <f>IF(D11="","-",+C39+1)</f>
        <v>2047</v>
      </c>
      <c r="D40" s="55">
        <f>IF(F39+SUM(E$17:E39)=D$10,F39,D$10-SUM(E$17:E39))</f>
        <v>0</v>
      </c>
      <c r="E40" s="56">
        <f t="shared" si="6"/>
        <v>0</v>
      </c>
      <c r="F40" s="55">
        <f t="shared" si="7"/>
        <v>0</v>
      </c>
      <c r="G40" s="57">
        <f t="shared" si="8"/>
        <v>0</v>
      </c>
      <c r="H40" s="42">
        <f t="shared" si="9"/>
        <v>0</v>
      </c>
      <c r="I40" s="52">
        <f t="shared" si="10"/>
        <v>0</v>
      </c>
      <c r="J40" s="52"/>
      <c r="K40" s="115"/>
      <c r="L40" s="54">
        <f t="shared" si="11"/>
        <v>0</v>
      </c>
      <c r="M40" s="115"/>
      <c r="N40" s="54">
        <f t="shared" si="12"/>
        <v>0</v>
      </c>
      <c r="O40" s="54">
        <f t="shared" si="13"/>
        <v>0</v>
      </c>
      <c r="P40" s="1"/>
    </row>
    <row r="41" spans="2:16" ht="12.5">
      <c r="B41" s="7" t="str">
        <f t="shared" si="14"/>
        <v/>
      </c>
      <c r="C41" s="50">
        <f>IF(D11="","-",+C40+1)</f>
        <v>2048</v>
      </c>
      <c r="D41" s="55">
        <f>IF(F40+SUM(E$17:E40)=D$10,F40,D$10-SUM(E$17:E40))</f>
        <v>0</v>
      </c>
      <c r="E41" s="56">
        <f t="shared" si="6"/>
        <v>0</v>
      </c>
      <c r="F41" s="55">
        <f t="shared" si="7"/>
        <v>0</v>
      </c>
      <c r="G41" s="57">
        <f t="shared" si="8"/>
        <v>0</v>
      </c>
      <c r="H41" s="42">
        <f t="shared" si="9"/>
        <v>0</v>
      </c>
      <c r="I41" s="52">
        <f t="shared" si="10"/>
        <v>0</v>
      </c>
      <c r="J41" s="52"/>
      <c r="K41" s="115"/>
      <c r="L41" s="54">
        <f t="shared" si="11"/>
        <v>0</v>
      </c>
      <c r="M41" s="115"/>
      <c r="N41" s="54">
        <f t="shared" si="12"/>
        <v>0</v>
      </c>
      <c r="O41" s="54">
        <f t="shared" si="13"/>
        <v>0</v>
      </c>
      <c r="P41" s="1"/>
    </row>
    <row r="42" spans="2:16" ht="12.5">
      <c r="B42" s="7" t="str">
        <f t="shared" si="14"/>
        <v/>
      </c>
      <c r="C42" s="50">
        <f>IF(D11="","-",+C41+1)</f>
        <v>2049</v>
      </c>
      <c r="D42" s="55">
        <f>IF(F41+SUM(E$17:E41)=D$10,F41,D$10-SUM(E$17:E41))</f>
        <v>0</v>
      </c>
      <c r="E42" s="56">
        <f t="shared" si="6"/>
        <v>0</v>
      </c>
      <c r="F42" s="55">
        <f t="shared" si="7"/>
        <v>0</v>
      </c>
      <c r="G42" s="57">
        <f t="shared" si="8"/>
        <v>0</v>
      </c>
      <c r="H42" s="42">
        <f t="shared" si="9"/>
        <v>0</v>
      </c>
      <c r="I42" s="52">
        <f t="shared" si="10"/>
        <v>0</v>
      </c>
      <c r="J42" s="52"/>
      <c r="K42" s="115"/>
      <c r="L42" s="54">
        <f t="shared" si="11"/>
        <v>0</v>
      </c>
      <c r="M42" s="115"/>
      <c r="N42" s="54">
        <f t="shared" si="12"/>
        <v>0</v>
      </c>
      <c r="O42" s="54">
        <f t="shared" si="13"/>
        <v>0</v>
      </c>
      <c r="P42" s="1"/>
    </row>
    <row r="43" spans="2:16" ht="12.5">
      <c r="B43" s="7" t="str">
        <f t="shared" si="14"/>
        <v/>
      </c>
      <c r="C43" s="50">
        <f>IF(D11="","-",+C42+1)</f>
        <v>2050</v>
      </c>
      <c r="D43" s="55">
        <f>IF(F42+SUM(E$17:E42)=D$10,F42,D$10-SUM(E$17:E42))</f>
        <v>0</v>
      </c>
      <c r="E43" s="56">
        <f t="shared" si="6"/>
        <v>0</v>
      </c>
      <c r="F43" s="55">
        <f t="shared" si="7"/>
        <v>0</v>
      </c>
      <c r="G43" s="57">
        <f t="shared" si="8"/>
        <v>0</v>
      </c>
      <c r="H43" s="42">
        <f t="shared" si="9"/>
        <v>0</v>
      </c>
      <c r="I43" s="52">
        <f t="shared" si="10"/>
        <v>0</v>
      </c>
      <c r="J43" s="52"/>
      <c r="K43" s="115"/>
      <c r="L43" s="54">
        <f t="shared" si="11"/>
        <v>0</v>
      </c>
      <c r="M43" s="115"/>
      <c r="N43" s="54">
        <f t="shared" si="12"/>
        <v>0</v>
      </c>
      <c r="O43" s="54">
        <f t="shared" si="13"/>
        <v>0</v>
      </c>
      <c r="P43" s="1"/>
    </row>
    <row r="44" spans="2:16" ht="12.5">
      <c r="B44" s="7" t="str">
        <f t="shared" si="14"/>
        <v/>
      </c>
      <c r="C44" s="50">
        <f>IF(D11="","-",+C43+1)</f>
        <v>2051</v>
      </c>
      <c r="D44" s="55">
        <f>IF(F43+SUM(E$17:E43)=D$10,F43,D$10-SUM(E$17:E43))</f>
        <v>0</v>
      </c>
      <c r="E44" s="56">
        <f t="shared" si="6"/>
        <v>0</v>
      </c>
      <c r="F44" s="55">
        <f t="shared" si="7"/>
        <v>0</v>
      </c>
      <c r="G44" s="57">
        <f t="shared" si="8"/>
        <v>0</v>
      </c>
      <c r="H44" s="42">
        <f t="shared" si="9"/>
        <v>0</v>
      </c>
      <c r="I44" s="52">
        <f t="shared" si="10"/>
        <v>0</v>
      </c>
      <c r="J44" s="52"/>
      <c r="K44" s="115"/>
      <c r="L44" s="54">
        <f t="shared" si="11"/>
        <v>0</v>
      </c>
      <c r="M44" s="115"/>
      <c r="N44" s="54">
        <f t="shared" si="12"/>
        <v>0</v>
      </c>
      <c r="O44" s="54">
        <f t="shared" si="13"/>
        <v>0</v>
      </c>
      <c r="P44" s="1"/>
    </row>
    <row r="45" spans="2:16" ht="12.5">
      <c r="B45" s="7" t="str">
        <f t="shared" si="14"/>
        <v/>
      </c>
      <c r="C45" s="50">
        <f>IF(D11="","-",+C44+1)</f>
        <v>2052</v>
      </c>
      <c r="D45" s="55">
        <f>IF(F44+SUM(E$17:E44)=D$10,F44,D$10-SUM(E$17:E44))</f>
        <v>0</v>
      </c>
      <c r="E45" s="56">
        <f t="shared" si="6"/>
        <v>0</v>
      </c>
      <c r="F45" s="55">
        <f t="shared" si="7"/>
        <v>0</v>
      </c>
      <c r="G45" s="57">
        <f t="shared" si="8"/>
        <v>0</v>
      </c>
      <c r="H45" s="42">
        <f t="shared" si="9"/>
        <v>0</v>
      </c>
      <c r="I45" s="52">
        <f t="shared" si="10"/>
        <v>0</v>
      </c>
      <c r="J45" s="52"/>
      <c r="K45" s="115"/>
      <c r="L45" s="54">
        <f t="shared" si="11"/>
        <v>0</v>
      </c>
      <c r="M45" s="115"/>
      <c r="N45" s="54">
        <f t="shared" si="12"/>
        <v>0</v>
      </c>
      <c r="O45" s="54">
        <f t="shared" si="13"/>
        <v>0</v>
      </c>
      <c r="P45" s="1"/>
    </row>
    <row r="46" spans="2:16" ht="12.5">
      <c r="B46" s="7" t="str">
        <f t="shared" si="14"/>
        <v/>
      </c>
      <c r="C46" s="50">
        <f>IF(D11="","-",+C45+1)</f>
        <v>2053</v>
      </c>
      <c r="D46" s="55">
        <f>IF(F45+SUM(E$17:E45)=D$10,F45,D$10-SUM(E$17:E45))</f>
        <v>0</v>
      </c>
      <c r="E46" s="56">
        <f t="shared" si="6"/>
        <v>0</v>
      </c>
      <c r="F46" s="55">
        <f t="shared" si="7"/>
        <v>0</v>
      </c>
      <c r="G46" s="57">
        <f t="shared" si="8"/>
        <v>0</v>
      </c>
      <c r="H46" s="42">
        <f t="shared" si="9"/>
        <v>0</v>
      </c>
      <c r="I46" s="52">
        <f t="shared" si="10"/>
        <v>0</v>
      </c>
      <c r="J46" s="52"/>
      <c r="K46" s="115"/>
      <c r="L46" s="54">
        <f t="shared" si="11"/>
        <v>0</v>
      </c>
      <c r="M46" s="115"/>
      <c r="N46" s="54">
        <f t="shared" si="12"/>
        <v>0</v>
      </c>
      <c r="O46" s="54">
        <f t="shared" si="13"/>
        <v>0</v>
      </c>
      <c r="P46" s="1"/>
    </row>
    <row r="47" spans="2:16" ht="12.5">
      <c r="B47" s="7" t="str">
        <f t="shared" si="14"/>
        <v/>
      </c>
      <c r="C47" s="50">
        <f>IF(D11="","-",+C46+1)</f>
        <v>2054</v>
      </c>
      <c r="D47" s="55">
        <f>IF(F46+SUM(E$17:E46)=D$10,F46,D$10-SUM(E$17:E46))</f>
        <v>0</v>
      </c>
      <c r="E47" s="56">
        <f t="shared" si="6"/>
        <v>0</v>
      </c>
      <c r="F47" s="55">
        <f t="shared" si="7"/>
        <v>0</v>
      </c>
      <c r="G47" s="57">
        <f t="shared" si="8"/>
        <v>0</v>
      </c>
      <c r="H47" s="42">
        <f t="shared" si="9"/>
        <v>0</v>
      </c>
      <c r="I47" s="52">
        <f t="shared" si="10"/>
        <v>0</v>
      </c>
      <c r="J47" s="52"/>
      <c r="K47" s="115"/>
      <c r="L47" s="54">
        <f t="shared" si="11"/>
        <v>0</v>
      </c>
      <c r="M47" s="115"/>
      <c r="N47" s="54">
        <f t="shared" si="12"/>
        <v>0</v>
      </c>
      <c r="O47" s="54">
        <f t="shared" si="13"/>
        <v>0</v>
      </c>
      <c r="P47" s="1"/>
    </row>
    <row r="48" spans="2:16" ht="12.5">
      <c r="B48" s="7" t="str">
        <f t="shared" si="14"/>
        <v/>
      </c>
      <c r="C48" s="50">
        <f>IF(D11="","-",+C47+1)</f>
        <v>2055</v>
      </c>
      <c r="D48" s="55">
        <f>IF(F47+SUM(E$17:E47)=D$10,F47,D$10-SUM(E$17:E47))</f>
        <v>0</v>
      </c>
      <c r="E48" s="56">
        <f t="shared" si="6"/>
        <v>0</v>
      </c>
      <c r="F48" s="55">
        <f t="shared" si="7"/>
        <v>0</v>
      </c>
      <c r="G48" s="57">
        <f t="shared" si="8"/>
        <v>0</v>
      </c>
      <c r="H48" s="42">
        <f t="shared" si="9"/>
        <v>0</v>
      </c>
      <c r="I48" s="52">
        <f t="shared" si="10"/>
        <v>0</v>
      </c>
      <c r="J48" s="52"/>
      <c r="K48" s="115"/>
      <c r="L48" s="54">
        <f t="shared" si="11"/>
        <v>0</v>
      </c>
      <c r="M48" s="115"/>
      <c r="N48" s="54">
        <f t="shared" si="12"/>
        <v>0</v>
      </c>
      <c r="O48" s="54">
        <f t="shared" si="13"/>
        <v>0</v>
      </c>
      <c r="P48" s="1"/>
    </row>
    <row r="49" spans="2:22" ht="12.5">
      <c r="B49" s="7" t="str">
        <f t="shared" si="14"/>
        <v/>
      </c>
      <c r="C49" s="50">
        <f>IF(D11="","-",+C48+1)</f>
        <v>2056</v>
      </c>
      <c r="D49" s="55">
        <f>IF(F48+SUM(E$17:E48)=D$10,F48,D$10-SUM(E$17:E48))</f>
        <v>0</v>
      </c>
      <c r="E49" s="56">
        <f t="shared" si="6"/>
        <v>0</v>
      </c>
      <c r="F49" s="55">
        <f t="shared" si="7"/>
        <v>0</v>
      </c>
      <c r="G49" s="57">
        <f t="shared" si="8"/>
        <v>0</v>
      </c>
      <c r="H49" s="42">
        <f t="shared" si="9"/>
        <v>0</v>
      </c>
      <c r="I49" s="52">
        <f t="shared" si="10"/>
        <v>0</v>
      </c>
      <c r="J49" s="52"/>
      <c r="K49" s="115"/>
      <c r="L49" s="54">
        <f t="shared" si="11"/>
        <v>0</v>
      </c>
      <c r="M49" s="115"/>
      <c r="N49" s="54">
        <f t="shared" si="12"/>
        <v>0</v>
      </c>
      <c r="O49" s="54">
        <f t="shared" si="13"/>
        <v>0</v>
      </c>
      <c r="P49" s="1"/>
    </row>
    <row r="50" spans="2:22" ht="12.5">
      <c r="B50" s="7" t="str">
        <f t="shared" si="14"/>
        <v/>
      </c>
      <c r="C50" s="50">
        <f>IF(D11="","-",+C49+1)</f>
        <v>2057</v>
      </c>
      <c r="D50" s="55">
        <f>IF(F49+SUM(E$17:E49)=D$10,F49,D$10-SUM(E$17:E49))</f>
        <v>0</v>
      </c>
      <c r="E50" s="56">
        <f t="shared" si="6"/>
        <v>0</v>
      </c>
      <c r="F50" s="55">
        <f t="shared" si="7"/>
        <v>0</v>
      </c>
      <c r="G50" s="57">
        <f t="shared" si="8"/>
        <v>0</v>
      </c>
      <c r="H50" s="42">
        <f t="shared" si="9"/>
        <v>0</v>
      </c>
      <c r="I50" s="52">
        <f t="shared" si="10"/>
        <v>0</v>
      </c>
      <c r="J50" s="52"/>
      <c r="K50" s="115"/>
      <c r="L50" s="54">
        <f t="shared" si="11"/>
        <v>0</v>
      </c>
      <c r="M50" s="115"/>
      <c r="N50" s="54">
        <f t="shared" si="12"/>
        <v>0</v>
      </c>
      <c r="O50" s="54">
        <f t="shared" si="13"/>
        <v>0</v>
      </c>
      <c r="P50" s="1"/>
    </row>
    <row r="51" spans="2:22" ht="12.5">
      <c r="B51" s="7" t="str">
        <f t="shared" si="14"/>
        <v/>
      </c>
      <c r="C51" s="50">
        <f>IF(D11="","-",+C50+1)</f>
        <v>2058</v>
      </c>
      <c r="D51" s="55">
        <f>IF(F50+SUM(E$17:E50)=D$10,F50,D$10-SUM(E$17:E50))</f>
        <v>0</v>
      </c>
      <c r="E51" s="56">
        <f t="shared" si="6"/>
        <v>0</v>
      </c>
      <c r="F51" s="55">
        <f t="shared" si="7"/>
        <v>0</v>
      </c>
      <c r="G51" s="57">
        <f t="shared" si="8"/>
        <v>0</v>
      </c>
      <c r="H51" s="42">
        <f t="shared" si="9"/>
        <v>0</v>
      </c>
      <c r="I51" s="52">
        <f t="shared" si="10"/>
        <v>0</v>
      </c>
      <c r="J51" s="52"/>
      <c r="K51" s="115"/>
      <c r="L51" s="54">
        <f t="shared" si="11"/>
        <v>0</v>
      </c>
      <c r="M51" s="115"/>
      <c r="N51" s="54">
        <f t="shared" si="12"/>
        <v>0</v>
      </c>
      <c r="O51" s="54">
        <f t="shared" si="13"/>
        <v>0</v>
      </c>
      <c r="P51" s="1"/>
      <c r="V51" t="s">
        <v>455</v>
      </c>
    </row>
    <row r="52" spans="2:22" ht="12.5">
      <c r="B52" s="7" t="str">
        <f t="shared" si="14"/>
        <v/>
      </c>
      <c r="C52" s="50">
        <f>IF(D11="","-",+C51+1)</f>
        <v>2059</v>
      </c>
      <c r="D52" s="55">
        <f>IF(F51+SUM(E$17:E51)=D$10,F51,D$10-SUM(E$17:E51))</f>
        <v>0</v>
      </c>
      <c r="E52" s="56">
        <f t="shared" si="6"/>
        <v>0</v>
      </c>
      <c r="F52" s="55">
        <f t="shared" si="7"/>
        <v>0</v>
      </c>
      <c r="G52" s="57">
        <f t="shared" si="8"/>
        <v>0</v>
      </c>
      <c r="H52" s="42">
        <f t="shared" si="9"/>
        <v>0</v>
      </c>
      <c r="I52" s="52">
        <f t="shared" si="10"/>
        <v>0</v>
      </c>
      <c r="J52" s="52"/>
      <c r="K52" s="115"/>
      <c r="L52" s="54">
        <f t="shared" si="11"/>
        <v>0</v>
      </c>
      <c r="M52" s="115"/>
      <c r="N52" s="54">
        <f t="shared" si="12"/>
        <v>0</v>
      </c>
      <c r="O52" s="54">
        <f t="shared" si="13"/>
        <v>0</v>
      </c>
      <c r="P52" s="1"/>
    </row>
    <row r="53" spans="2:22" ht="12.5">
      <c r="B53" s="7" t="str">
        <f t="shared" si="14"/>
        <v/>
      </c>
      <c r="C53" s="50">
        <f>IF(D11="","-",+C52+1)</f>
        <v>2060</v>
      </c>
      <c r="D53" s="55">
        <f>IF(F52+SUM(E$17:E52)=D$10,F52,D$10-SUM(E$17:E52))</f>
        <v>0</v>
      </c>
      <c r="E53" s="56">
        <f t="shared" si="6"/>
        <v>0</v>
      </c>
      <c r="F53" s="55">
        <f t="shared" si="7"/>
        <v>0</v>
      </c>
      <c r="G53" s="57">
        <f t="shared" si="8"/>
        <v>0</v>
      </c>
      <c r="H53" s="42">
        <f t="shared" si="9"/>
        <v>0</v>
      </c>
      <c r="I53" s="52">
        <f t="shared" si="10"/>
        <v>0</v>
      </c>
      <c r="J53" s="52"/>
      <c r="K53" s="115"/>
      <c r="L53" s="54">
        <f t="shared" si="11"/>
        <v>0</v>
      </c>
      <c r="M53" s="115"/>
      <c r="N53" s="54">
        <f t="shared" si="12"/>
        <v>0</v>
      </c>
      <c r="O53" s="54">
        <f t="shared" si="13"/>
        <v>0</v>
      </c>
      <c r="P53" s="1"/>
    </row>
    <row r="54" spans="2:22" ht="12.5">
      <c r="B54" s="7" t="str">
        <f t="shared" si="14"/>
        <v/>
      </c>
      <c r="C54" s="50">
        <f>IF(D11="","-",+C53+1)</f>
        <v>2061</v>
      </c>
      <c r="D54" s="55">
        <f>IF(F53+SUM(E$17:E53)=D$10,F53,D$10-SUM(E$17:E53))</f>
        <v>0</v>
      </c>
      <c r="E54" s="56">
        <f t="shared" si="6"/>
        <v>0</v>
      </c>
      <c r="F54" s="55">
        <f t="shared" si="7"/>
        <v>0</v>
      </c>
      <c r="G54" s="57">
        <f t="shared" si="8"/>
        <v>0</v>
      </c>
      <c r="H54" s="42">
        <f t="shared" si="9"/>
        <v>0</v>
      </c>
      <c r="I54" s="52">
        <f t="shared" si="10"/>
        <v>0</v>
      </c>
      <c r="J54" s="52"/>
      <c r="K54" s="115"/>
      <c r="L54" s="54">
        <f t="shared" si="11"/>
        <v>0</v>
      </c>
      <c r="M54" s="115"/>
      <c r="N54" s="54">
        <f t="shared" si="12"/>
        <v>0</v>
      </c>
      <c r="O54" s="54">
        <f t="shared" si="13"/>
        <v>0</v>
      </c>
      <c r="P54" s="1"/>
    </row>
    <row r="55" spans="2:22" ht="12.5">
      <c r="B55" s="7" t="str">
        <f t="shared" si="14"/>
        <v/>
      </c>
      <c r="C55" s="50">
        <f>IF(D11="","-",+C54+1)</f>
        <v>2062</v>
      </c>
      <c r="D55" s="55">
        <f>IF(F54+SUM(E$17:E54)=D$10,F54,D$10-SUM(E$17:E54))</f>
        <v>0</v>
      </c>
      <c r="E55" s="56">
        <f t="shared" si="6"/>
        <v>0</v>
      </c>
      <c r="F55" s="55">
        <f t="shared" si="7"/>
        <v>0</v>
      </c>
      <c r="G55" s="57">
        <f t="shared" si="8"/>
        <v>0</v>
      </c>
      <c r="H55" s="42">
        <f t="shared" si="9"/>
        <v>0</v>
      </c>
      <c r="I55" s="52">
        <f t="shared" si="10"/>
        <v>0</v>
      </c>
      <c r="J55" s="52"/>
      <c r="K55" s="115"/>
      <c r="L55" s="54">
        <f t="shared" si="11"/>
        <v>0</v>
      </c>
      <c r="M55" s="115"/>
      <c r="N55" s="54">
        <f t="shared" si="12"/>
        <v>0</v>
      </c>
      <c r="O55" s="54">
        <f t="shared" si="13"/>
        <v>0</v>
      </c>
      <c r="P55" s="1"/>
    </row>
    <row r="56" spans="2:22" ht="12.5">
      <c r="B56" s="7" t="str">
        <f t="shared" si="14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11"/>
        <v>0</v>
      </c>
      <c r="M56" s="115"/>
      <c r="N56" s="54">
        <f t="shared" si="12"/>
        <v>0</v>
      </c>
      <c r="O56" s="54">
        <f t="shared" si="13"/>
        <v>0</v>
      </c>
      <c r="P56" s="1"/>
    </row>
    <row r="57" spans="2:22" ht="12.5">
      <c r="B57" s="7" t="str">
        <f t="shared" si="14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1"/>
        <v>0</v>
      </c>
      <c r="M57" s="115"/>
      <c r="N57" s="54">
        <f t="shared" si="12"/>
        <v>0</v>
      </c>
      <c r="O57" s="54">
        <f t="shared" si="13"/>
        <v>0</v>
      </c>
      <c r="P57" s="1"/>
    </row>
    <row r="58" spans="2:22" ht="12.5">
      <c r="B58" s="7" t="str">
        <f t="shared" si="14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1"/>
        <v>0</v>
      </c>
      <c r="M58" s="115"/>
      <c r="N58" s="54">
        <f t="shared" si="12"/>
        <v>0</v>
      </c>
      <c r="O58" s="54">
        <f t="shared" si="13"/>
        <v>0</v>
      </c>
      <c r="P58" s="1"/>
    </row>
    <row r="59" spans="2:22" ht="12.5">
      <c r="B59" s="7" t="str">
        <f t="shared" si="14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1"/>
        <v>0</v>
      </c>
      <c r="M59" s="115"/>
      <c r="N59" s="54">
        <f t="shared" si="12"/>
        <v>0</v>
      </c>
      <c r="O59" s="54">
        <f t="shared" si="13"/>
        <v>0</v>
      </c>
      <c r="P59" s="1"/>
    </row>
    <row r="60" spans="2:22" ht="12.5">
      <c r="B60" s="7" t="str">
        <f t="shared" si="14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1"/>
        <v>0</v>
      </c>
      <c r="M60" s="115"/>
      <c r="N60" s="54">
        <f t="shared" si="12"/>
        <v>0</v>
      </c>
      <c r="O60" s="54">
        <f t="shared" si="13"/>
        <v>0</v>
      </c>
      <c r="P60" s="1"/>
    </row>
    <row r="61" spans="2:22" ht="12.5">
      <c r="B61" s="7" t="str">
        <f t="shared" si="14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1"/>
        <v>0</v>
      </c>
      <c r="M61" s="115"/>
      <c r="N61" s="54">
        <f t="shared" si="12"/>
        <v>0</v>
      </c>
      <c r="O61" s="54">
        <f t="shared" si="13"/>
        <v>0</v>
      </c>
      <c r="P61" s="1"/>
    </row>
    <row r="62" spans="2:22" ht="12.5">
      <c r="B62" s="7" t="str">
        <f t="shared" si="14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1"/>
        <v>0</v>
      </c>
      <c r="M62" s="115"/>
      <c r="N62" s="54">
        <f t="shared" si="12"/>
        <v>0</v>
      </c>
      <c r="O62" s="54">
        <f t="shared" si="13"/>
        <v>0</v>
      </c>
      <c r="P62" s="1"/>
    </row>
    <row r="63" spans="2:22" ht="12.5">
      <c r="B63" s="7" t="str">
        <f t="shared" si="14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1"/>
        <v>0</v>
      </c>
      <c r="M63" s="115"/>
      <c r="N63" s="54">
        <f t="shared" si="12"/>
        <v>0</v>
      </c>
      <c r="O63" s="54">
        <f t="shared" si="13"/>
        <v>0</v>
      </c>
      <c r="P63" s="1"/>
    </row>
    <row r="64" spans="2:22" ht="12.5">
      <c r="B64" s="7" t="str">
        <f t="shared" si="14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1"/>
        <v>0</v>
      </c>
      <c r="M64" s="115"/>
      <c r="N64" s="54">
        <f t="shared" si="12"/>
        <v>0</v>
      </c>
      <c r="O64" s="54">
        <f t="shared" si="13"/>
        <v>0</v>
      </c>
      <c r="P64" s="1"/>
    </row>
    <row r="65" spans="2:16" ht="12.5">
      <c r="B65" s="7" t="str">
        <f t="shared" si="14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1"/>
        <v>0</v>
      </c>
      <c r="M65" s="115"/>
      <c r="N65" s="54">
        <f t="shared" si="12"/>
        <v>0</v>
      </c>
      <c r="O65" s="54">
        <f t="shared" si="13"/>
        <v>0</v>
      </c>
      <c r="P65" s="1"/>
    </row>
    <row r="66" spans="2:16" ht="12.5">
      <c r="B66" s="7" t="str">
        <f t="shared" si="14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1"/>
        <v>0</v>
      </c>
      <c r="M66" s="115"/>
      <c r="N66" s="54">
        <f t="shared" si="12"/>
        <v>0</v>
      </c>
      <c r="O66" s="54">
        <f t="shared" si="13"/>
        <v>0</v>
      </c>
      <c r="P66" s="1"/>
    </row>
    <row r="67" spans="2:16" ht="12.5">
      <c r="B67" s="7" t="str">
        <f t="shared" si="14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1"/>
        <v>0</v>
      </c>
      <c r="M67" s="115"/>
      <c r="N67" s="54">
        <f t="shared" si="12"/>
        <v>0</v>
      </c>
      <c r="O67" s="54">
        <f t="shared" si="13"/>
        <v>0</v>
      </c>
      <c r="P67" s="1"/>
    </row>
    <row r="68" spans="2:16" ht="12.5">
      <c r="B68" s="7" t="str">
        <f t="shared" si="14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1"/>
        <v>0</v>
      </c>
      <c r="M68" s="115"/>
      <c r="N68" s="54">
        <f t="shared" si="12"/>
        <v>0</v>
      </c>
      <c r="O68" s="54">
        <f t="shared" si="13"/>
        <v>0</v>
      </c>
      <c r="P68" s="1"/>
    </row>
    <row r="69" spans="2:16" ht="12.5">
      <c r="B69" s="7" t="str">
        <f t="shared" si="14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1"/>
        <v>0</v>
      </c>
      <c r="M69" s="115"/>
      <c r="N69" s="54">
        <f t="shared" si="12"/>
        <v>0</v>
      </c>
      <c r="O69" s="54">
        <f t="shared" si="13"/>
        <v>0</v>
      </c>
      <c r="P69" s="1"/>
    </row>
    <row r="70" spans="2:16" ht="12.5">
      <c r="B70" s="7" t="str">
        <f t="shared" si="14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1"/>
        <v>0</v>
      </c>
      <c r="M70" s="115"/>
      <c r="N70" s="54">
        <f t="shared" si="12"/>
        <v>0</v>
      </c>
      <c r="O70" s="54">
        <f t="shared" si="13"/>
        <v>0</v>
      </c>
      <c r="P70" s="1"/>
    </row>
    <row r="71" spans="2:16" ht="12.5">
      <c r="B71" s="7" t="str">
        <f t="shared" si="14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1"/>
        <v>0</v>
      </c>
      <c r="M71" s="115"/>
      <c r="N71" s="54">
        <f t="shared" si="12"/>
        <v>0</v>
      </c>
      <c r="O71" s="54">
        <f t="shared" si="13"/>
        <v>0</v>
      </c>
      <c r="P71" s="1"/>
    </row>
    <row r="72" spans="2:16" ht="13" thickBot="1">
      <c r="B72" s="7" t="str">
        <f t="shared" si="14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1"/>
        <v>0</v>
      </c>
      <c r="M72" s="116"/>
      <c r="N72" s="62">
        <f t="shared" si="12"/>
        <v>0</v>
      </c>
      <c r="O72" s="62">
        <f t="shared" si="13"/>
        <v>0</v>
      </c>
      <c r="P72" s="1"/>
    </row>
    <row r="73" spans="2:16" ht="12.5">
      <c r="C73" s="12" t="s">
        <v>77</v>
      </c>
      <c r="D73" s="14"/>
      <c r="E73" s="14">
        <f>SUM(E17:E72)</f>
        <v>695767.39013472036</v>
      </c>
      <c r="F73" s="14"/>
      <c r="G73" s="14">
        <f>SUM(G17:G72)</f>
        <v>735909.12207573932</v>
      </c>
      <c r="H73" s="14">
        <f>SUM(H17:H72)</f>
        <v>735909.12207573932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33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25.762152486776909</v>
      </c>
      <c r="N87" s="66">
        <f>IF(J92&lt;D11,0,VLOOKUP(J92,C17:O72,11))</f>
        <v>25.762152486776909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v>0</v>
      </c>
      <c r="N88" s="68">
        <v>0</v>
      </c>
      <c r="O88" s="465">
        <f>+N88-M88</f>
        <v>0</v>
      </c>
      <c r="P88" s="1"/>
    </row>
    <row r="89" spans="1:16" ht="13.5" thickBot="1">
      <c r="C89" s="26" t="s">
        <v>92</v>
      </c>
      <c r="D89" s="97" t="str">
        <f>+D7</f>
        <v>Chisholm Substation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-25.762152486776909</v>
      </c>
      <c r="N89" s="71">
        <f>+N88-N87</f>
        <v>-25.762152486776909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TP2020266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f>IF(D11=I10,"",D12)</f>
        <v>10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v>38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2025</v>
      </c>
      <c r="D99" s="460">
        <v>0</v>
      </c>
      <c r="E99" s="462">
        <f>IF(OR(D11=I10,D92&lt;100000),0,J$96/12*(12-D94))</f>
        <v>0</v>
      </c>
      <c r="F99" s="461">
        <f>IF(D93=C99,+D92-E99,+D99-E99)</f>
        <v>0</v>
      </c>
      <c r="G99" s="463">
        <f>+(F99+D99)/2</f>
        <v>0</v>
      </c>
      <c r="H99" s="463">
        <f>+J$94*G99+E99</f>
        <v>0</v>
      </c>
      <c r="I99" s="463">
        <f>+J$95*G99+E99</f>
        <v>0</v>
      </c>
      <c r="J99" s="464">
        <f>+I99-H99</f>
        <v>0</v>
      </c>
      <c r="K99" s="54"/>
      <c r="L99" s="324">
        <f t="shared" ref="L99:L107" si="15">+H99</f>
        <v>0</v>
      </c>
      <c r="M99" s="54">
        <f t="shared" ref="M99:M107" si="16">IF(L99&lt;&gt;0,+H99-L99,0)</f>
        <v>0</v>
      </c>
      <c r="N99" s="324">
        <f t="shared" ref="N99:N107" si="17">+I99</f>
        <v>0</v>
      </c>
      <c r="O99" s="54">
        <f t="shared" ref="O99:O107" si="18">IF(N99&lt;&gt;0,+I99-N99,0)</f>
        <v>0</v>
      </c>
      <c r="P99" s="54">
        <f t="shared" ref="P99:P107" si="19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0</v>
      </c>
      <c r="E100" s="56">
        <f t="shared" ref="E100:E107" si="20">IF(+J$96&lt;F99,J$96,D100)</f>
        <v>0</v>
      </c>
      <c r="F100" s="55">
        <f t="shared" ref="F100:F107" si="21">+D100-E100</f>
        <v>0</v>
      </c>
      <c r="G100" s="55">
        <f t="shared" ref="G100:G107" si="22">+(F100+D100)/2</f>
        <v>0</v>
      </c>
      <c r="H100" s="113">
        <f t="shared" ref="H100:H107" si="23">+J$94*G100+E100</f>
        <v>0</v>
      </c>
      <c r="I100" s="122">
        <f t="shared" ref="I100:I107" si="24">+J$95*G100+E100</f>
        <v>0</v>
      </c>
      <c r="J100" s="54">
        <f t="shared" ref="J100:J107" si="25">+I100-H100</f>
        <v>0</v>
      </c>
      <c r="K100" s="54"/>
      <c r="L100" s="324">
        <f t="shared" si="15"/>
        <v>0</v>
      </c>
      <c r="M100" s="54">
        <f t="shared" si="16"/>
        <v>0</v>
      </c>
      <c r="N100" s="324">
        <f t="shared" si="17"/>
        <v>0</v>
      </c>
      <c r="O100" s="54">
        <f t="shared" si="18"/>
        <v>0</v>
      </c>
      <c r="P100" s="54">
        <f t="shared" si="19"/>
        <v>0</v>
      </c>
    </row>
    <row r="101" spans="1:16" ht="12.5">
      <c r="B101" s="7" t="str">
        <f t="shared" ref="B101:B154" si="26">IF(D101=F100,"","IU")</f>
        <v/>
      </c>
      <c r="C101" s="50">
        <f>IF(D93="","-",+C100+1)</f>
        <v>2027</v>
      </c>
      <c r="D101" s="12">
        <f>IF(F100+SUM(E$99:E100)=D$92,F100,D$92-SUM(E$99:E100))</f>
        <v>0</v>
      </c>
      <c r="E101" s="56">
        <f t="shared" si="20"/>
        <v>0</v>
      </c>
      <c r="F101" s="55">
        <f t="shared" si="21"/>
        <v>0</v>
      </c>
      <c r="G101" s="55">
        <f t="shared" si="22"/>
        <v>0</v>
      </c>
      <c r="H101" s="113">
        <f t="shared" si="23"/>
        <v>0</v>
      </c>
      <c r="I101" s="122">
        <f t="shared" si="24"/>
        <v>0</v>
      </c>
      <c r="J101" s="54">
        <f t="shared" si="25"/>
        <v>0</v>
      </c>
      <c r="K101" s="54"/>
      <c r="L101" s="324">
        <f t="shared" si="15"/>
        <v>0</v>
      </c>
      <c r="M101" s="54">
        <f t="shared" si="16"/>
        <v>0</v>
      </c>
      <c r="N101" s="324">
        <f t="shared" si="17"/>
        <v>0</v>
      </c>
      <c r="O101" s="54">
        <f t="shared" si="18"/>
        <v>0</v>
      </c>
      <c r="P101" s="54">
        <f t="shared" si="19"/>
        <v>0</v>
      </c>
    </row>
    <row r="102" spans="1:16" ht="12.5">
      <c r="B102" s="7" t="str">
        <f t="shared" si="26"/>
        <v/>
      </c>
      <c r="C102" s="50">
        <f>IF(D93="","-",+C101+1)</f>
        <v>2028</v>
      </c>
      <c r="D102" s="12">
        <f>IF(F101+SUM(E$99:E101)=D$92,F101,D$92-SUM(E$99:E101))</f>
        <v>0</v>
      </c>
      <c r="E102" s="56">
        <f t="shared" si="20"/>
        <v>0</v>
      </c>
      <c r="F102" s="55">
        <f t="shared" si="21"/>
        <v>0</v>
      </c>
      <c r="G102" s="55">
        <f t="shared" si="22"/>
        <v>0</v>
      </c>
      <c r="H102" s="113">
        <f t="shared" si="23"/>
        <v>0</v>
      </c>
      <c r="I102" s="122">
        <f t="shared" si="24"/>
        <v>0</v>
      </c>
      <c r="J102" s="54">
        <f t="shared" si="25"/>
        <v>0</v>
      </c>
      <c r="K102" s="54"/>
      <c r="L102" s="324">
        <f t="shared" si="15"/>
        <v>0</v>
      </c>
      <c r="M102" s="54">
        <f t="shared" si="16"/>
        <v>0</v>
      </c>
      <c r="N102" s="324">
        <f t="shared" si="17"/>
        <v>0</v>
      </c>
      <c r="O102" s="54">
        <f t="shared" si="18"/>
        <v>0</v>
      </c>
      <c r="P102" s="54">
        <f t="shared" si="19"/>
        <v>0</v>
      </c>
    </row>
    <row r="103" spans="1:16" ht="12.5">
      <c r="B103" s="7" t="str">
        <f t="shared" si="26"/>
        <v/>
      </c>
      <c r="C103" s="50">
        <f>IF(D93="","-",+C102+1)</f>
        <v>2029</v>
      </c>
      <c r="D103" s="12">
        <f>IF(F102+SUM(E$99:E102)=D$92,F102,D$92-SUM(E$99:E102))</f>
        <v>0</v>
      </c>
      <c r="E103" s="56">
        <f t="shared" si="20"/>
        <v>0</v>
      </c>
      <c r="F103" s="55">
        <f t="shared" si="21"/>
        <v>0</v>
      </c>
      <c r="G103" s="55">
        <f t="shared" si="22"/>
        <v>0</v>
      </c>
      <c r="H103" s="113">
        <f t="shared" si="23"/>
        <v>0</v>
      </c>
      <c r="I103" s="122">
        <f t="shared" si="24"/>
        <v>0</v>
      </c>
      <c r="J103" s="54">
        <f t="shared" si="25"/>
        <v>0</v>
      </c>
      <c r="K103" s="54"/>
      <c r="L103" s="324">
        <f t="shared" si="15"/>
        <v>0</v>
      </c>
      <c r="M103" s="54">
        <f t="shared" si="16"/>
        <v>0</v>
      </c>
      <c r="N103" s="324">
        <f t="shared" si="17"/>
        <v>0</v>
      </c>
      <c r="O103" s="54">
        <f t="shared" si="18"/>
        <v>0</v>
      </c>
      <c r="P103" s="54">
        <f t="shared" si="19"/>
        <v>0</v>
      </c>
    </row>
    <row r="104" spans="1:16" ht="12.5">
      <c r="B104" s="7" t="str">
        <f t="shared" si="26"/>
        <v/>
      </c>
      <c r="C104" s="50">
        <f>IF(D93="","-",+C103+1)</f>
        <v>2030</v>
      </c>
      <c r="D104" s="12">
        <f>IF(F103+SUM(E$99:E103)=D$92,F103,D$92-SUM(E$99:E103))</f>
        <v>0</v>
      </c>
      <c r="E104" s="56">
        <f t="shared" si="20"/>
        <v>0</v>
      </c>
      <c r="F104" s="55">
        <f t="shared" si="21"/>
        <v>0</v>
      </c>
      <c r="G104" s="55">
        <f t="shared" si="22"/>
        <v>0</v>
      </c>
      <c r="H104" s="113">
        <f t="shared" si="23"/>
        <v>0</v>
      </c>
      <c r="I104" s="122">
        <f t="shared" si="24"/>
        <v>0</v>
      </c>
      <c r="J104" s="54">
        <f t="shared" si="25"/>
        <v>0</v>
      </c>
      <c r="K104" s="54"/>
      <c r="L104" s="324">
        <f t="shared" si="15"/>
        <v>0</v>
      </c>
      <c r="M104" s="54">
        <f t="shared" si="16"/>
        <v>0</v>
      </c>
      <c r="N104" s="324">
        <f t="shared" si="17"/>
        <v>0</v>
      </c>
      <c r="O104" s="54">
        <f t="shared" si="18"/>
        <v>0</v>
      </c>
      <c r="P104" s="54">
        <f t="shared" si="19"/>
        <v>0</v>
      </c>
    </row>
    <row r="105" spans="1:16" ht="12.5">
      <c r="B105" s="7" t="str">
        <f t="shared" si="26"/>
        <v/>
      </c>
      <c r="C105" s="50">
        <f>IF(D93="","-",+C104+1)</f>
        <v>2031</v>
      </c>
      <c r="D105" s="12">
        <f>IF(F104+SUM(E$99:E104)=D$92,F104,D$92-SUM(E$99:E104))</f>
        <v>0</v>
      </c>
      <c r="E105" s="56">
        <f t="shared" si="20"/>
        <v>0</v>
      </c>
      <c r="F105" s="55">
        <f t="shared" si="21"/>
        <v>0</v>
      </c>
      <c r="G105" s="55">
        <f t="shared" si="22"/>
        <v>0</v>
      </c>
      <c r="H105" s="113">
        <f t="shared" si="23"/>
        <v>0</v>
      </c>
      <c r="I105" s="122">
        <f t="shared" si="24"/>
        <v>0</v>
      </c>
      <c r="J105" s="54">
        <f t="shared" si="25"/>
        <v>0</v>
      </c>
      <c r="K105" s="54"/>
      <c r="L105" s="324">
        <f t="shared" si="15"/>
        <v>0</v>
      </c>
      <c r="M105" s="54">
        <f t="shared" si="16"/>
        <v>0</v>
      </c>
      <c r="N105" s="324">
        <f t="shared" si="17"/>
        <v>0</v>
      </c>
      <c r="O105" s="54">
        <f t="shared" si="18"/>
        <v>0</v>
      </c>
      <c r="P105" s="54">
        <f t="shared" si="19"/>
        <v>0</v>
      </c>
    </row>
    <row r="106" spans="1:16" ht="12.5">
      <c r="B106" s="7" t="str">
        <f t="shared" si="26"/>
        <v/>
      </c>
      <c r="C106" s="50">
        <f>IF(D93="","-",+C105+1)</f>
        <v>2032</v>
      </c>
      <c r="D106" s="12">
        <f>IF(F105+SUM(E$99:E105)=D$92,F105,D$92-SUM(E$99:E105))</f>
        <v>0</v>
      </c>
      <c r="E106" s="56">
        <f t="shared" si="20"/>
        <v>0</v>
      </c>
      <c r="F106" s="55">
        <f t="shared" si="21"/>
        <v>0</v>
      </c>
      <c r="G106" s="55">
        <f t="shared" si="22"/>
        <v>0</v>
      </c>
      <c r="H106" s="113">
        <f t="shared" si="23"/>
        <v>0</v>
      </c>
      <c r="I106" s="122">
        <f t="shared" si="24"/>
        <v>0</v>
      </c>
      <c r="J106" s="54">
        <f t="shared" si="25"/>
        <v>0</v>
      </c>
      <c r="K106" s="54"/>
      <c r="L106" s="324">
        <f t="shared" si="15"/>
        <v>0</v>
      </c>
      <c r="M106" s="54">
        <f t="shared" si="16"/>
        <v>0</v>
      </c>
      <c r="N106" s="324">
        <f t="shared" si="17"/>
        <v>0</v>
      </c>
      <c r="O106" s="54">
        <f t="shared" si="18"/>
        <v>0</v>
      </c>
      <c r="P106" s="54">
        <f t="shared" si="19"/>
        <v>0</v>
      </c>
    </row>
    <row r="107" spans="1:16" ht="12.5">
      <c r="B107" s="7" t="str">
        <f t="shared" si="26"/>
        <v/>
      </c>
      <c r="C107" s="50">
        <f>IF(D93="","-",+C106+1)</f>
        <v>2033</v>
      </c>
      <c r="D107" s="12">
        <f>IF(F106+SUM(E$99:E106)=D$92,F106,D$92-SUM(E$99:E106))</f>
        <v>0</v>
      </c>
      <c r="E107" s="56">
        <f t="shared" si="20"/>
        <v>0</v>
      </c>
      <c r="F107" s="55">
        <f t="shared" si="21"/>
        <v>0</v>
      </c>
      <c r="G107" s="55">
        <f t="shared" si="22"/>
        <v>0</v>
      </c>
      <c r="H107" s="113">
        <f t="shared" si="23"/>
        <v>0</v>
      </c>
      <c r="I107" s="122">
        <f t="shared" si="24"/>
        <v>0</v>
      </c>
      <c r="J107" s="54">
        <f t="shared" si="25"/>
        <v>0</v>
      </c>
      <c r="K107" s="54"/>
      <c r="L107" s="324">
        <f t="shared" si="15"/>
        <v>0</v>
      </c>
      <c r="M107" s="54">
        <f t="shared" si="16"/>
        <v>0</v>
      </c>
      <c r="N107" s="324">
        <f t="shared" si="17"/>
        <v>0</v>
      </c>
      <c r="O107" s="54">
        <f t="shared" si="18"/>
        <v>0</v>
      </c>
      <c r="P107" s="54">
        <f t="shared" si="19"/>
        <v>0</v>
      </c>
    </row>
    <row r="108" spans="1:16" ht="12.5">
      <c r="B108" s="7" t="str">
        <f t="shared" si="26"/>
        <v/>
      </c>
      <c r="C108" s="50">
        <f>IF(D93="","-",+C107+1)</f>
        <v>2034</v>
      </c>
      <c r="D108" s="12">
        <f>IF(F107+SUM(E$99:E107)=D$92,F107,D$92-SUM(E$99:E107))</f>
        <v>0</v>
      </c>
      <c r="E108" s="56">
        <f t="shared" ref="E108:E154" si="27">IF(+J$96&lt;F107,J$96,D108)</f>
        <v>0</v>
      </c>
      <c r="F108" s="55">
        <f t="shared" ref="F108:F154" si="28">+D108-E108</f>
        <v>0</v>
      </c>
      <c r="G108" s="55">
        <f t="shared" ref="G108:G154" si="29">+(F108+D108)/2</f>
        <v>0</v>
      </c>
      <c r="H108" s="113">
        <f t="shared" ref="H108:H154" si="30">+J$94*G108+E108</f>
        <v>0</v>
      </c>
      <c r="I108" s="122">
        <f t="shared" ref="I108:I154" si="31">+J$95*G108+E108</f>
        <v>0</v>
      </c>
      <c r="J108" s="54">
        <f t="shared" ref="J108:J130" si="32">+I108-H108</f>
        <v>0</v>
      </c>
      <c r="K108" s="54"/>
      <c r="L108" s="115"/>
      <c r="M108" s="54">
        <f t="shared" ref="M108:M130" si="33">IF(L108&lt;&gt;0,+H108-L108,0)</f>
        <v>0</v>
      </c>
      <c r="N108" s="115"/>
      <c r="O108" s="54">
        <f t="shared" ref="O108:O130" si="34">IF(N108&lt;&gt;0,+I108-N108,0)</f>
        <v>0</v>
      </c>
      <c r="P108" s="54">
        <f t="shared" ref="P108:P130" si="35">+O108-M108</f>
        <v>0</v>
      </c>
    </row>
    <row r="109" spans="1:16" ht="12.5">
      <c r="B109" s="7" t="str">
        <f t="shared" si="26"/>
        <v/>
      </c>
      <c r="C109" s="50">
        <f>IF(D93="","-",+C108+1)</f>
        <v>2035</v>
      </c>
      <c r="D109" s="12">
        <f>IF(F108+SUM(E$99:E108)=D$92,F108,D$92-SUM(E$99:E108))</f>
        <v>0</v>
      </c>
      <c r="E109" s="56">
        <f t="shared" si="27"/>
        <v>0</v>
      </c>
      <c r="F109" s="55">
        <f t="shared" si="28"/>
        <v>0</v>
      </c>
      <c r="G109" s="55">
        <f t="shared" si="29"/>
        <v>0</v>
      </c>
      <c r="H109" s="113">
        <f t="shared" si="30"/>
        <v>0</v>
      </c>
      <c r="I109" s="122">
        <f t="shared" si="31"/>
        <v>0</v>
      </c>
      <c r="J109" s="54">
        <f t="shared" si="32"/>
        <v>0</v>
      </c>
      <c r="K109" s="54"/>
      <c r="L109" s="115"/>
      <c r="M109" s="54">
        <f t="shared" si="33"/>
        <v>0</v>
      </c>
      <c r="N109" s="115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26"/>
        <v/>
      </c>
      <c r="C110" s="50">
        <f>IF(D93="","-",+C109+1)</f>
        <v>2036</v>
      </c>
      <c r="D110" s="12">
        <f>IF(F109+SUM(E$99:E109)=D$92,F109,D$92-SUM(E$99:E109))</f>
        <v>0</v>
      </c>
      <c r="E110" s="56">
        <f t="shared" si="27"/>
        <v>0</v>
      </c>
      <c r="F110" s="55">
        <f t="shared" si="28"/>
        <v>0</v>
      </c>
      <c r="G110" s="55">
        <f t="shared" si="29"/>
        <v>0</v>
      </c>
      <c r="H110" s="113">
        <f t="shared" si="30"/>
        <v>0</v>
      </c>
      <c r="I110" s="122">
        <f t="shared" si="31"/>
        <v>0</v>
      </c>
      <c r="J110" s="54">
        <f t="shared" si="32"/>
        <v>0</v>
      </c>
      <c r="K110" s="54"/>
      <c r="L110" s="115"/>
      <c r="M110" s="54">
        <f t="shared" si="33"/>
        <v>0</v>
      </c>
      <c r="N110" s="115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26"/>
        <v/>
      </c>
      <c r="C111" s="50">
        <f>IF(D93="","-",+C110+1)</f>
        <v>2037</v>
      </c>
      <c r="D111" s="12">
        <f>IF(F110+SUM(E$99:E110)=D$92,F110,D$92-SUM(E$99:E110))</f>
        <v>0</v>
      </c>
      <c r="E111" s="56">
        <f t="shared" si="27"/>
        <v>0</v>
      </c>
      <c r="F111" s="55">
        <f t="shared" si="28"/>
        <v>0</v>
      </c>
      <c r="G111" s="55">
        <f t="shared" si="29"/>
        <v>0</v>
      </c>
      <c r="H111" s="113">
        <f t="shared" si="30"/>
        <v>0</v>
      </c>
      <c r="I111" s="122">
        <f t="shared" si="31"/>
        <v>0</v>
      </c>
      <c r="J111" s="54">
        <f t="shared" si="32"/>
        <v>0</v>
      </c>
      <c r="K111" s="54"/>
      <c r="L111" s="115"/>
      <c r="M111" s="54">
        <f t="shared" si="33"/>
        <v>0</v>
      </c>
      <c r="N111" s="115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26"/>
        <v/>
      </c>
      <c r="C112" s="50">
        <f>IF(D93="","-",+C111+1)</f>
        <v>2038</v>
      </c>
      <c r="D112" s="12">
        <f>IF(F111+SUM(E$99:E111)=D$92,F111,D$92-SUM(E$99:E111))</f>
        <v>0</v>
      </c>
      <c r="E112" s="56">
        <f t="shared" si="27"/>
        <v>0</v>
      </c>
      <c r="F112" s="55">
        <f t="shared" si="28"/>
        <v>0</v>
      </c>
      <c r="G112" s="55">
        <f t="shared" si="29"/>
        <v>0</v>
      </c>
      <c r="H112" s="113">
        <f t="shared" si="30"/>
        <v>0</v>
      </c>
      <c r="I112" s="122">
        <f t="shared" si="31"/>
        <v>0</v>
      </c>
      <c r="J112" s="54">
        <f t="shared" si="32"/>
        <v>0</v>
      </c>
      <c r="K112" s="54"/>
      <c r="L112" s="115"/>
      <c r="M112" s="54">
        <f t="shared" si="33"/>
        <v>0</v>
      </c>
      <c r="N112" s="115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26"/>
        <v/>
      </c>
      <c r="C113" s="50">
        <f>IF(D93="","-",+C112+1)</f>
        <v>2039</v>
      </c>
      <c r="D113" s="12">
        <f>IF(F112+SUM(E$99:E112)=D$92,F112,D$92-SUM(E$99:E112))</f>
        <v>0</v>
      </c>
      <c r="E113" s="56">
        <f t="shared" si="27"/>
        <v>0</v>
      </c>
      <c r="F113" s="55">
        <f t="shared" si="28"/>
        <v>0</v>
      </c>
      <c r="G113" s="55">
        <f t="shared" si="29"/>
        <v>0</v>
      </c>
      <c r="H113" s="113">
        <f t="shared" si="30"/>
        <v>0</v>
      </c>
      <c r="I113" s="122">
        <f t="shared" si="31"/>
        <v>0</v>
      </c>
      <c r="J113" s="54">
        <f t="shared" si="32"/>
        <v>0</v>
      </c>
      <c r="K113" s="54"/>
      <c r="L113" s="115"/>
      <c r="M113" s="54">
        <f t="shared" si="33"/>
        <v>0</v>
      </c>
      <c r="N113" s="115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26"/>
        <v/>
      </c>
      <c r="C114" s="50">
        <f>IF(D93="","-",+C113+1)</f>
        <v>2040</v>
      </c>
      <c r="D114" s="12">
        <f>IF(F113+SUM(E$99:E113)=D$92,F113,D$92-SUM(E$99:E113))</f>
        <v>0</v>
      </c>
      <c r="E114" s="56">
        <f t="shared" si="27"/>
        <v>0</v>
      </c>
      <c r="F114" s="55">
        <f t="shared" si="28"/>
        <v>0</v>
      </c>
      <c r="G114" s="55">
        <f t="shared" si="29"/>
        <v>0</v>
      </c>
      <c r="H114" s="113">
        <f t="shared" si="30"/>
        <v>0</v>
      </c>
      <c r="I114" s="122">
        <f t="shared" si="31"/>
        <v>0</v>
      </c>
      <c r="J114" s="54">
        <f t="shared" si="32"/>
        <v>0</v>
      </c>
      <c r="K114" s="54"/>
      <c r="L114" s="115"/>
      <c r="M114" s="54">
        <f t="shared" si="33"/>
        <v>0</v>
      </c>
      <c r="N114" s="115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26"/>
        <v/>
      </c>
      <c r="C115" s="50">
        <f>IF(D93="","-",+C114+1)</f>
        <v>2041</v>
      </c>
      <c r="D115" s="12">
        <f>IF(F114+SUM(E$99:E114)=D$92,F114,D$92-SUM(E$99:E114))</f>
        <v>0</v>
      </c>
      <c r="E115" s="56">
        <f t="shared" si="27"/>
        <v>0</v>
      </c>
      <c r="F115" s="55">
        <f t="shared" si="28"/>
        <v>0</v>
      </c>
      <c r="G115" s="55">
        <f t="shared" si="29"/>
        <v>0</v>
      </c>
      <c r="H115" s="113">
        <f t="shared" si="30"/>
        <v>0</v>
      </c>
      <c r="I115" s="122">
        <f t="shared" si="31"/>
        <v>0</v>
      </c>
      <c r="J115" s="54">
        <f t="shared" si="32"/>
        <v>0</v>
      </c>
      <c r="K115" s="54"/>
      <c r="L115" s="115"/>
      <c r="M115" s="54">
        <f t="shared" si="33"/>
        <v>0</v>
      </c>
      <c r="N115" s="115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26"/>
        <v/>
      </c>
      <c r="C116" s="50">
        <f>IF(D93="","-",+C115+1)</f>
        <v>2042</v>
      </c>
      <c r="D116" s="12">
        <f>IF(F115+SUM(E$99:E115)=D$92,F115,D$92-SUM(E$99:E115))</f>
        <v>0</v>
      </c>
      <c r="E116" s="56">
        <f t="shared" si="27"/>
        <v>0</v>
      </c>
      <c r="F116" s="55">
        <f t="shared" si="28"/>
        <v>0</v>
      </c>
      <c r="G116" s="55">
        <f t="shared" si="29"/>
        <v>0</v>
      </c>
      <c r="H116" s="113">
        <f t="shared" si="30"/>
        <v>0</v>
      </c>
      <c r="I116" s="122">
        <f t="shared" si="31"/>
        <v>0</v>
      </c>
      <c r="J116" s="54">
        <f t="shared" si="32"/>
        <v>0</v>
      </c>
      <c r="K116" s="54"/>
      <c r="L116" s="115"/>
      <c r="M116" s="54">
        <f t="shared" si="33"/>
        <v>0</v>
      </c>
      <c r="N116" s="115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26"/>
        <v/>
      </c>
      <c r="C117" s="50">
        <f>IF(D93="","-",+C116+1)</f>
        <v>2043</v>
      </c>
      <c r="D117" s="12">
        <f>IF(F116+SUM(E$99:E116)=D$92,F116,D$92-SUM(E$99:E116))</f>
        <v>0</v>
      </c>
      <c r="E117" s="56">
        <f t="shared" si="27"/>
        <v>0</v>
      </c>
      <c r="F117" s="55">
        <f t="shared" si="28"/>
        <v>0</v>
      </c>
      <c r="G117" s="55">
        <f t="shared" si="29"/>
        <v>0</v>
      </c>
      <c r="H117" s="113">
        <f t="shared" si="30"/>
        <v>0</v>
      </c>
      <c r="I117" s="122">
        <f t="shared" si="31"/>
        <v>0</v>
      </c>
      <c r="J117" s="54">
        <f t="shared" si="32"/>
        <v>0</v>
      </c>
      <c r="K117" s="54"/>
      <c r="L117" s="115"/>
      <c r="M117" s="54">
        <f t="shared" si="33"/>
        <v>0</v>
      </c>
      <c r="N117" s="115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26"/>
        <v/>
      </c>
      <c r="C118" s="50">
        <f>IF(D93="","-",+C117+1)</f>
        <v>2044</v>
      </c>
      <c r="D118" s="12">
        <f>IF(F117+SUM(E$99:E117)=D$92,F117,D$92-SUM(E$99:E117))</f>
        <v>0</v>
      </c>
      <c r="E118" s="56">
        <f t="shared" si="27"/>
        <v>0</v>
      </c>
      <c r="F118" s="55">
        <f t="shared" si="28"/>
        <v>0</v>
      </c>
      <c r="G118" s="55">
        <f t="shared" si="29"/>
        <v>0</v>
      </c>
      <c r="H118" s="113">
        <f t="shared" si="30"/>
        <v>0</v>
      </c>
      <c r="I118" s="122">
        <f t="shared" si="31"/>
        <v>0</v>
      </c>
      <c r="J118" s="54">
        <f t="shared" si="32"/>
        <v>0</v>
      </c>
      <c r="K118" s="54"/>
      <c r="L118" s="115"/>
      <c r="M118" s="54">
        <f t="shared" si="33"/>
        <v>0</v>
      </c>
      <c r="N118" s="115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26"/>
        <v/>
      </c>
      <c r="C119" s="50">
        <f>IF(D93="","-",+C118+1)</f>
        <v>2045</v>
      </c>
      <c r="D119" s="12">
        <f>IF(F118+SUM(E$99:E118)=D$92,F118,D$92-SUM(E$99:E118))</f>
        <v>0</v>
      </c>
      <c r="E119" s="56">
        <f t="shared" si="27"/>
        <v>0</v>
      </c>
      <c r="F119" s="55">
        <f t="shared" si="28"/>
        <v>0</v>
      </c>
      <c r="G119" s="55">
        <f t="shared" si="29"/>
        <v>0</v>
      </c>
      <c r="H119" s="113">
        <f t="shared" si="30"/>
        <v>0</v>
      </c>
      <c r="I119" s="122">
        <f t="shared" si="31"/>
        <v>0</v>
      </c>
      <c r="J119" s="54">
        <f t="shared" si="32"/>
        <v>0</v>
      </c>
      <c r="K119" s="54"/>
      <c r="L119" s="115"/>
      <c r="M119" s="54">
        <f t="shared" si="33"/>
        <v>0</v>
      </c>
      <c r="N119" s="115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26"/>
        <v/>
      </c>
      <c r="C120" s="50">
        <f>IF(D93="","-",+C119+1)</f>
        <v>2046</v>
      </c>
      <c r="D120" s="12">
        <f>IF(F119+SUM(E$99:E119)=D$92,F119,D$92-SUM(E$99:E119))</f>
        <v>0</v>
      </c>
      <c r="E120" s="56">
        <f t="shared" si="27"/>
        <v>0</v>
      </c>
      <c r="F120" s="55">
        <f t="shared" si="28"/>
        <v>0</v>
      </c>
      <c r="G120" s="55">
        <f t="shared" si="29"/>
        <v>0</v>
      </c>
      <c r="H120" s="113">
        <f t="shared" si="30"/>
        <v>0</v>
      </c>
      <c r="I120" s="122">
        <f t="shared" si="31"/>
        <v>0</v>
      </c>
      <c r="J120" s="54">
        <f t="shared" si="32"/>
        <v>0</v>
      </c>
      <c r="K120" s="54"/>
      <c r="L120" s="115"/>
      <c r="M120" s="54">
        <f t="shared" si="33"/>
        <v>0</v>
      </c>
      <c r="N120" s="115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26"/>
        <v/>
      </c>
      <c r="C121" s="50">
        <f>IF(D93="","-",+C120+1)</f>
        <v>2047</v>
      </c>
      <c r="D121" s="12">
        <f>IF(F120+SUM(E$99:E120)=D$92,F120,D$92-SUM(E$99:E120))</f>
        <v>0</v>
      </c>
      <c r="E121" s="56">
        <f t="shared" si="27"/>
        <v>0</v>
      </c>
      <c r="F121" s="55">
        <f t="shared" si="28"/>
        <v>0</v>
      </c>
      <c r="G121" s="55">
        <f t="shared" si="29"/>
        <v>0</v>
      </c>
      <c r="H121" s="113">
        <f t="shared" si="30"/>
        <v>0</v>
      </c>
      <c r="I121" s="122">
        <f t="shared" si="31"/>
        <v>0</v>
      </c>
      <c r="J121" s="54">
        <f t="shared" si="32"/>
        <v>0</v>
      </c>
      <c r="K121" s="54"/>
      <c r="L121" s="115"/>
      <c r="M121" s="54">
        <f t="shared" si="33"/>
        <v>0</v>
      </c>
      <c r="N121" s="115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26"/>
        <v/>
      </c>
      <c r="C122" s="50">
        <f>IF(D93="","-",+C121+1)</f>
        <v>2048</v>
      </c>
      <c r="D122" s="12">
        <f>IF(F121+SUM(E$99:E121)=D$92,F121,D$92-SUM(E$99:E121))</f>
        <v>0</v>
      </c>
      <c r="E122" s="56">
        <f t="shared" si="27"/>
        <v>0</v>
      </c>
      <c r="F122" s="55">
        <f t="shared" si="28"/>
        <v>0</v>
      </c>
      <c r="G122" s="55">
        <f t="shared" si="29"/>
        <v>0</v>
      </c>
      <c r="H122" s="113">
        <f t="shared" si="30"/>
        <v>0</v>
      </c>
      <c r="I122" s="122">
        <f t="shared" si="31"/>
        <v>0</v>
      </c>
      <c r="J122" s="54">
        <f t="shared" si="32"/>
        <v>0</v>
      </c>
      <c r="K122" s="54"/>
      <c r="L122" s="115"/>
      <c r="M122" s="54">
        <f t="shared" si="33"/>
        <v>0</v>
      </c>
      <c r="N122" s="115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26"/>
        <v/>
      </c>
      <c r="C123" s="50">
        <f>IF(D93="","-",+C122+1)</f>
        <v>2049</v>
      </c>
      <c r="D123" s="12">
        <f>IF(F122+SUM(E$99:E122)=D$92,F122,D$92-SUM(E$99:E122))</f>
        <v>0</v>
      </c>
      <c r="E123" s="56">
        <f t="shared" si="27"/>
        <v>0</v>
      </c>
      <c r="F123" s="55">
        <f t="shared" si="28"/>
        <v>0</v>
      </c>
      <c r="G123" s="55">
        <f t="shared" si="29"/>
        <v>0</v>
      </c>
      <c r="H123" s="113">
        <f t="shared" si="30"/>
        <v>0</v>
      </c>
      <c r="I123" s="122">
        <f t="shared" si="31"/>
        <v>0</v>
      </c>
      <c r="J123" s="54">
        <f t="shared" si="32"/>
        <v>0</v>
      </c>
      <c r="K123" s="54"/>
      <c r="L123" s="115"/>
      <c r="M123" s="54">
        <f t="shared" si="33"/>
        <v>0</v>
      </c>
      <c r="N123" s="115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26"/>
        <v/>
      </c>
      <c r="C124" s="50">
        <f>IF(D93="","-",+C123+1)</f>
        <v>2050</v>
      </c>
      <c r="D124" s="12">
        <f>IF(F123+SUM(E$99:E123)=D$92,F123,D$92-SUM(E$99:E123))</f>
        <v>0</v>
      </c>
      <c r="E124" s="56">
        <f t="shared" si="27"/>
        <v>0</v>
      </c>
      <c r="F124" s="55">
        <f t="shared" si="28"/>
        <v>0</v>
      </c>
      <c r="G124" s="55">
        <f t="shared" si="29"/>
        <v>0</v>
      </c>
      <c r="H124" s="113">
        <f t="shared" si="30"/>
        <v>0</v>
      </c>
      <c r="I124" s="122">
        <f t="shared" si="31"/>
        <v>0</v>
      </c>
      <c r="J124" s="54">
        <f t="shared" si="32"/>
        <v>0</v>
      </c>
      <c r="K124" s="54"/>
      <c r="L124" s="115"/>
      <c r="M124" s="54">
        <f t="shared" si="33"/>
        <v>0</v>
      </c>
      <c r="N124" s="115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26"/>
        <v/>
      </c>
      <c r="C125" s="50">
        <f>IF(D93="","-",+C124+1)</f>
        <v>2051</v>
      </c>
      <c r="D125" s="12">
        <f>IF(F124+SUM(E$99:E124)=D$92,F124,D$92-SUM(E$99:E124))</f>
        <v>0</v>
      </c>
      <c r="E125" s="56">
        <f t="shared" si="27"/>
        <v>0</v>
      </c>
      <c r="F125" s="55">
        <f t="shared" si="28"/>
        <v>0</v>
      </c>
      <c r="G125" s="55">
        <f t="shared" si="29"/>
        <v>0</v>
      </c>
      <c r="H125" s="113">
        <f t="shared" si="30"/>
        <v>0</v>
      </c>
      <c r="I125" s="122">
        <f t="shared" si="31"/>
        <v>0</v>
      </c>
      <c r="J125" s="54">
        <f t="shared" si="32"/>
        <v>0</v>
      </c>
      <c r="K125" s="54"/>
      <c r="L125" s="115"/>
      <c r="M125" s="54">
        <f t="shared" si="33"/>
        <v>0</v>
      </c>
      <c r="N125" s="115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26"/>
        <v/>
      </c>
      <c r="C126" s="50">
        <f>IF(D93="","-",+C125+1)</f>
        <v>2052</v>
      </c>
      <c r="D126" s="12">
        <f>IF(F125+SUM(E$99:E125)=D$92,F125,D$92-SUM(E$99:E125))</f>
        <v>0</v>
      </c>
      <c r="E126" s="56">
        <f t="shared" si="27"/>
        <v>0</v>
      </c>
      <c r="F126" s="55">
        <f t="shared" si="28"/>
        <v>0</v>
      </c>
      <c r="G126" s="55">
        <f t="shared" si="29"/>
        <v>0</v>
      </c>
      <c r="H126" s="113">
        <f t="shared" si="30"/>
        <v>0</v>
      </c>
      <c r="I126" s="122">
        <f t="shared" si="31"/>
        <v>0</v>
      </c>
      <c r="J126" s="54">
        <f t="shared" si="32"/>
        <v>0</v>
      </c>
      <c r="K126" s="54"/>
      <c r="L126" s="115"/>
      <c r="M126" s="54">
        <f t="shared" si="33"/>
        <v>0</v>
      </c>
      <c r="N126" s="115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26"/>
        <v/>
      </c>
      <c r="C127" s="50">
        <f>IF(D93="","-",+C126+1)</f>
        <v>2053</v>
      </c>
      <c r="D127" s="12">
        <f>IF(F126+SUM(E$99:E126)=D$92,F126,D$92-SUM(E$99:E126))</f>
        <v>0</v>
      </c>
      <c r="E127" s="56">
        <f t="shared" si="27"/>
        <v>0</v>
      </c>
      <c r="F127" s="55">
        <f t="shared" si="28"/>
        <v>0</v>
      </c>
      <c r="G127" s="55">
        <f t="shared" si="29"/>
        <v>0</v>
      </c>
      <c r="H127" s="113">
        <f t="shared" si="30"/>
        <v>0</v>
      </c>
      <c r="I127" s="122">
        <f t="shared" si="31"/>
        <v>0</v>
      </c>
      <c r="J127" s="54">
        <f t="shared" si="32"/>
        <v>0</v>
      </c>
      <c r="K127" s="54"/>
      <c r="L127" s="115"/>
      <c r="M127" s="54">
        <f t="shared" si="33"/>
        <v>0</v>
      </c>
      <c r="N127" s="115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26"/>
        <v/>
      </c>
      <c r="C128" s="50">
        <f>IF(D93="","-",+C127+1)</f>
        <v>2054</v>
      </c>
      <c r="D128" s="12">
        <f>IF(F127+SUM(E$99:E127)=D$92,F127,D$92-SUM(E$99:E127))</f>
        <v>0</v>
      </c>
      <c r="E128" s="56">
        <f t="shared" si="27"/>
        <v>0</v>
      </c>
      <c r="F128" s="55">
        <f t="shared" si="28"/>
        <v>0</v>
      </c>
      <c r="G128" s="55">
        <f t="shared" si="29"/>
        <v>0</v>
      </c>
      <c r="H128" s="113">
        <f t="shared" si="30"/>
        <v>0</v>
      </c>
      <c r="I128" s="122">
        <f t="shared" si="31"/>
        <v>0</v>
      </c>
      <c r="J128" s="54">
        <f t="shared" si="32"/>
        <v>0</v>
      </c>
      <c r="K128" s="54"/>
      <c r="L128" s="115"/>
      <c r="M128" s="54">
        <f t="shared" si="33"/>
        <v>0</v>
      </c>
      <c r="N128" s="115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26"/>
        <v/>
      </c>
      <c r="C129" s="50">
        <f>IF(D93="","-",+C128+1)</f>
        <v>2055</v>
      </c>
      <c r="D129" s="12">
        <f>IF(F128+SUM(E$99:E128)=D$92,F128,D$92-SUM(E$99:E128))</f>
        <v>0</v>
      </c>
      <c r="E129" s="56">
        <f t="shared" si="27"/>
        <v>0</v>
      </c>
      <c r="F129" s="55">
        <f t="shared" si="28"/>
        <v>0</v>
      </c>
      <c r="G129" s="55">
        <f t="shared" si="29"/>
        <v>0</v>
      </c>
      <c r="H129" s="113">
        <f t="shared" si="30"/>
        <v>0</v>
      </c>
      <c r="I129" s="122">
        <f t="shared" si="31"/>
        <v>0</v>
      </c>
      <c r="J129" s="54">
        <f t="shared" si="32"/>
        <v>0</v>
      </c>
      <c r="K129" s="54"/>
      <c r="L129" s="115"/>
      <c r="M129" s="54">
        <f t="shared" si="33"/>
        <v>0</v>
      </c>
      <c r="N129" s="115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26"/>
        <v/>
      </c>
      <c r="C130" s="50">
        <f>IF(D93="","-",+C129+1)</f>
        <v>2056</v>
      </c>
      <c r="D130" s="12">
        <f>IF(F129+SUM(E$99:E129)=D$92,F129,D$92-SUM(E$99:E129))</f>
        <v>0</v>
      </c>
      <c r="E130" s="56">
        <f t="shared" si="27"/>
        <v>0</v>
      </c>
      <c r="F130" s="55">
        <f t="shared" si="28"/>
        <v>0</v>
      </c>
      <c r="G130" s="55">
        <f t="shared" si="29"/>
        <v>0</v>
      </c>
      <c r="H130" s="113">
        <f t="shared" si="30"/>
        <v>0</v>
      </c>
      <c r="I130" s="122">
        <f t="shared" si="31"/>
        <v>0</v>
      </c>
      <c r="J130" s="54">
        <f t="shared" si="32"/>
        <v>0</v>
      </c>
      <c r="K130" s="54"/>
      <c r="L130" s="115"/>
      <c r="M130" s="54">
        <f t="shared" si="33"/>
        <v>0</v>
      </c>
      <c r="N130" s="115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26"/>
        <v/>
      </c>
      <c r="C131" s="50">
        <f>IF(D93="","-",+C130+1)</f>
        <v>2057</v>
      </c>
      <c r="D131" s="12">
        <f>IF(F130+SUM(E$99:E130)=D$92,F130,D$92-SUM(E$99:E130))</f>
        <v>0</v>
      </c>
      <c r="E131" s="56">
        <f t="shared" si="27"/>
        <v>0</v>
      </c>
      <c r="F131" s="55">
        <f t="shared" si="28"/>
        <v>0</v>
      </c>
      <c r="G131" s="55">
        <f t="shared" si="29"/>
        <v>0</v>
      </c>
      <c r="H131" s="113">
        <f t="shared" si="30"/>
        <v>0</v>
      </c>
      <c r="I131" s="122">
        <f t="shared" si="31"/>
        <v>0</v>
      </c>
      <c r="J131" s="54">
        <f t="shared" ref="J131:J154" si="36">+I540-H540</f>
        <v>0</v>
      </c>
      <c r="K131" s="54"/>
      <c r="L131" s="115"/>
      <c r="M131" s="54">
        <f t="shared" ref="M131:M154" si="37">IF(L540&lt;&gt;0,+H540-L540,0)</f>
        <v>0</v>
      </c>
      <c r="N131" s="115"/>
      <c r="O131" s="54">
        <f t="shared" ref="O131:O154" si="38">IF(N540&lt;&gt;0,+I540-N540,0)</f>
        <v>0</v>
      </c>
      <c r="P131" s="54">
        <f t="shared" ref="P131:P154" si="39">+O540-M540</f>
        <v>0</v>
      </c>
    </row>
    <row r="132" spans="2:16" ht="12.5">
      <c r="B132" s="7" t="str">
        <f t="shared" si="26"/>
        <v/>
      </c>
      <c r="C132" s="50">
        <f>IF(D93="","-",+C131+1)</f>
        <v>2058</v>
      </c>
      <c r="D132" s="12">
        <f>IF(F131+SUM(E$99:E131)=D$92,F131,D$92-SUM(E$99:E131))</f>
        <v>0</v>
      </c>
      <c r="E132" s="56">
        <f t="shared" si="27"/>
        <v>0</v>
      </c>
      <c r="F132" s="55">
        <f t="shared" si="28"/>
        <v>0</v>
      </c>
      <c r="G132" s="55">
        <f t="shared" si="29"/>
        <v>0</v>
      </c>
      <c r="H132" s="113">
        <f t="shared" si="30"/>
        <v>0</v>
      </c>
      <c r="I132" s="122">
        <f t="shared" si="31"/>
        <v>0</v>
      </c>
      <c r="J132" s="54">
        <f t="shared" si="36"/>
        <v>0</v>
      </c>
      <c r="K132" s="54"/>
      <c r="L132" s="115"/>
      <c r="M132" s="54">
        <f t="shared" si="37"/>
        <v>0</v>
      </c>
      <c r="N132" s="115"/>
      <c r="O132" s="54">
        <f t="shared" si="38"/>
        <v>0</v>
      </c>
      <c r="P132" s="54">
        <f t="shared" si="39"/>
        <v>0</v>
      </c>
    </row>
    <row r="133" spans="2:16" ht="12.5">
      <c r="B133" s="7" t="str">
        <f t="shared" si="26"/>
        <v/>
      </c>
      <c r="C133" s="50">
        <f>IF(D93="","-",+C132+1)</f>
        <v>2059</v>
      </c>
      <c r="D133" s="12">
        <f>IF(F132+SUM(E$99:E132)=D$92,F132,D$92-SUM(E$99:E132))</f>
        <v>0</v>
      </c>
      <c r="E133" s="56">
        <f t="shared" si="27"/>
        <v>0</v>
      </c>
      <c r="F133" s="55">
        <f t="shared" si="28"/>
        <v>0</v>
      </c>
      <c r="G133" s="55">
        <f t="shared" si="29"/>
        <v>0</v>
      </c>
      <c r="H133" s="113">
        <f t="shared" si="30"/>
        <v>0</v>
      </c>
      <c r="I133" s="122">
        <f t="shared" si="31"/>
        <v>0</v>
      </c>
      <c r="J133" s="54">
        <f t="shared" si="36"/>
        <v>0</v>
      </c>
      <c r="K133" s="54"/>
      <c r="L133" s="115"/>
      <c r="M133" s="54">
        <f t="shared" si="37"/>
        <v>0</v>
      </c>
      <c r="N133" s="115"/>
      <c r="O133" s="54">
        <f t="shared" si="38"/>
        <v>0</v>
      </c>
      <c r="P133" s="54">
        <f t="shared" si="39"/>
        <v>0</v>
      </c>
    </row>
    <row r="134" spans="2:16" ht="12.5">
      <c r="B134" s="7" t="str">
        <f t="shared" si="26"/>
        <v/>
      </c>
      <c r="C134" s="50">
        <f>IF(D93="","-",+C133+1)</f>
        <v>2060</v>
      </c>
      <c r="D134" s="12">
        <f>IF(F133+SUM(E$99:E133)=D$92,F133,D$92-SUM(E$99:E133))</f>
        <v>0</v>
      </c>
      <c r="E134" s="56">
        <f t="shared" si="27"/>
        <v>0</v>
      </c>
      <c r="F134" s="55">
        <f t="shared" si="28"/>
        <v>0</v>
      </c>
      <c r="G134" s="55">
        <f t="shared" si="29"/>
        <v>0</v>
      </c>
      <c r="H134" s="113">
        <f t="shared" si="30"/>
        <v>0</v>
      </c>
      <c r="I134" s="122">
        <f t="shared" si="31"/>
        <v>0</v>
      </c>
      <c r="J134" s="54">
        <f t="shared" si="36"/>
        <v>0</v>
      </c>
      <c r="K134" s="54"/>
      <c r="L134" s="115"/>
      <c r="M134" s="54">
        <f t="shared" si="37"/>
        <v>0</v>
      </c>
      <c r="N134" s="115"/>
      <c r="O134" s="54">
        <f t="shared" si="38"/>
        <v>0</v>
      </c>
      <c r="P134" s="54">
        <f t="shared" si="39"/>
        <v>0</v>
      </c>
    </row>
    <row r="135" spans="2:16" ht="12.5">
      <c r="B135" s="7" t="str">
        <f t="shared" si="26"/>
        <v/>
      </c>
      <c r="C135" s="50">
        <f>IF(D93="","-",+C134+1)</f>
        <v>2061</v>
      </c>
      <c r="D135" s="12">
        <f>IF(F134+SUM(E$99:E134)=D$92,F134,D$92-SUM(E$99:E134))</f>
        <v>0</v>
      </c>
      <c r="E135" s="56">
        <f t="shared" si="27"/>
        <v>0</v>
      </c>
      <c r="F135" s="55">
        <f t="shared" si="28"/>
        <v>0</v>
      </c>
      <c r="G135" s="55">
        <f t="shared" si="29"/>
        <v>0</v>
      </c>
      <c r="H135" s="113">
        <f t="shared" si="30"/>
        <v>0</v>
      </c>
      <c r="I135" s="122">
        <f t="shared" si="31"/>
        <v>0</v>
      </c>
      <c r="J135" s="54">
        <f t="shared" si="36"/>
        <v>0</v>
      </c>
      <c r="K135" s="54"/>
      <c r="L135" s="115"/>
      <c r="M135" s="54">
        <f t="shared" si="37"/>
        <v>0</v>
      </c>
      <c r="N135" s="115"/>
      <c r="O135" s="54">
        <f t="shared" si="38"/>
        <v>0</v>
      </c>
      <c r="P135" s="54">
        <f t="shared" si="39"/>
        <v>0</v>
      </c>
    </row>
    <row r="136" spans="2:16" ht="12.5">
      <c r="B136" s="7" t="str">
        <f t="shared" si="26"/>
        <v/>
      </c>
      <c r="C136" s="50">
        <f>IF(D93="","-",+C135+1)</f>
        <v>2062</v>
      </c>
      <c r="D136" s="12">
        <f>IF(F135+SUM(E$99:E135)=D$92,F135,D$92-SUM(E$99:E135))</f>
        <v>0</v>
      </c>
      <c r="E136" s="56">
        <f t="shared" si="27"/>
        <v>0</v>
      </c>
      <c r="F136" s="55">
        <f t="shared" si="28"/>
        <v>0</v>
      </c>
      <c r="G136" s="55">
        <f t="shared" si="29"/>
        <v>0</v>
      </c>
      <c r="H136" s="113">
        <f t="shared" si="30"/>
        <v>0</v>
      </c>
      <c r="I136" s="122">
        <f t="shared" si="31"/>
        <v>0</v>
      </c>
      <c r="J136" s="54">
        <f t="shared" si="36"/>
        <v>0</v>
      </c>
      <c r="K136" s="54"/>
      <c r="L136" s="115"/>
      <c r="M136" s="54">
        <f t="shared" si="37"/>
        <v>0</v>
      </c>
      <c r="N136" s="115"/>
      <c r="O136" s="54">
        <f t="shared" si="38"/>
        <v>0</v>
      </c>
      <c r="P136" s="54">
        <f t="shared" si="39"/>
        <v>0</v>
      </c>
    </row>
    <row r="137" spans="2:16" ht="12.5">
      <c r="B137" s="7" t="str">
        <f t="shared" si="26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27"/>
        <v>0</v>
      </c>
      <c r="F137" s="55">
        <f t="shared" si="28"/>
        <v>0</v>
      </c>
      <c r="G137" s="55">
        <f t="shared" si="29"/>
        <v>0</v>
      </c>
      <c r="H137" s="113">
        <f t="shared" si="30"/>
        <v>0</v>
      </c>
      <c r="I137" s="122">
        <f t="shared" si="31"/>
        <v>0</v>
      </c>
      <c r="J137" s="54">
        <f t="shared" si="36"/>
        <v>0</v>
      </c>
      <c r="K137" s="54"/>
      <c r="L137" s="115"/>
      <c r="M137" s="54">
        <f t="shared" si="37"/>
        <v>0</v>
      </c>
      <c r="N137" s="115"/>
      <c r="O137" s="54">
        <f t="shared" si="38"/>
        <v>0</v>
      </c>
      <c r="P137" s="54">
        <f t="shared" si="39"/>
        <v>0</v>
      </c>
    </row>
    <row r="138" spans="2:16" ht="12.5">
      <c r="B138" s="7" t="str">
        <f t="shared" si="26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27"/>
        <v>0</v>
      </c>
      <c r="F138" s="55">
        <f t="shared" si="28"/>
        <v>0</v>
      </c>
      <c r="G138" s="55">
        <f t="shared" si="29"/>
        <v>0</v>
      </c>
      <c r="H138" s="113">
        <f t="shared" si="30"/>
        <v>0</v>
      </c>
      <c r="I138" s="122">
        <f t="shared" si="31"/>
        <v>0</v>
      </c>
      <c r="J138" s="54">
        <f t="shared" si="36"/>
        <v>0</v>
      </c>
      <c r="K138" s="54"/>
      <c r="L138" s="115"/>
      <c r="M138" s="54">
        <f t="shared" si="37"/>
        <v>0</v>
      </c>
      <c r="N138" s="115"/>
      <c r="O138" s="54">
        <f t="shared" si="38"/>
        <v>0</v>
      </c>
      <c r="P138" s="54">
        <f t="shared" si="39"/>
        <v>0</v>
      </c>
    </row>
    <row r="139" spans="2:16" ht="12.5">
      <c r="B139" s="7" t="str">
        <f t="shared" si="26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27"/>
        <v>0</v>
      </c>
      <c r="F139" s="55">
        <f t="shared" si="28"/>
        <v>0</v>
      </c>
      <c r="G139" s="55">
        <f t="shared" si="29"/>
        <v>0</v>
      </c>
      <c r="H139" s="113">
        <f t="shared" si="30"/>
        <v>0</v>
      </c>
      <c r="I139" s="122">
        <f t="shared" si="31"/>
        <v>0</v>
      </c>
      <c r="J139" s="54">
        <f t="shared" si="36"/>
        <v>0</v>
      </c>
      <c r="K139" s="54"/>
      <c r="L139" s="115"/>
      <c r="M139" s="54">
        <f t="shared" si="37"/>
        <v>0</v>
      </c>
      <c r="N139" s="115"/>
      <c r="O139" s="54">
        <f t="shared" si="38"/>
        <v>0</v>
      </c>
      <c r="P139" s="54">
        <f t="shared" si="39"/>
        <v>0</v>
      </c>
    </row>
    <row r="140" spans="2:16" ht="12.5">
      <c r="B140" s="7" t="str">
        <f t="shared" si="26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27"/>
        <v>0</v>
      </c>
      <c r="F140" s="55">
        <f t="shared" si="28"/>
        <v>0</v>
      </c>
      <c r="G140" s="55">
        <f t="shared" si="29"/>
        <v>0</v>
      </c>
      <c r="H140" s="113">
        <f t="shared" si="30"/>
        <v>0</v>
      </c>
      <c r="I140" s="122">
        <f t="shared" si="31"/>
        <v>0</v>
      </c>
      <c r="J140" s="54">
        <f t="shared" si="36"/>
        <v>0</v>
      </c>
      <c r="K140" s="54"/>
      <c r="L140" s="115"/>
      <c r="M140" s="54">
        <f t="shared" si="37"/>
        <v>0</v>
      </c>
      <c r="N140" s="115"/>
      <c r="O140" s="54">
        <f t="shared" si="38"/>
        <v>0</v>
      </c>
      <c r="P140" s="54">
        <f t="shared" si="39"/>
        <v>0</v>
      </c>
    </row>
    <row r="141" spans="2:16" ht="12.5">
      <c r="B141" s="7" t="str">
        <f t="shared" si="26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27"/>
        <v>0</v>
      </c>
      <c r="F141" s="55">
        <f t="shared" si="28"/>
        <v>0</v>
      </c>
      <c r="G141" s="55">
        <f t="shared" si="29"/>
        <v>0</v>
      </c>
      <c r="H141" s="113">
        <f t="shared" si="30"/>
        <v>0</v>
      </c>
      <c r="I141" s="122">
        <f t="shared" si="31"/>
        <v>0</v>
      </c>
      <c r="J141" s="54">
        <f t="shared" si="36"/>
        <v>0</v>
      </c>
      <c r="K141" s="54"/>
      <c r="L141" s="115"/>
      <c r="M141" s="54">
        <f t="shared" si="37"/>
        <v>0</v>
      </c>
      <c r="N141" s="115"/>
      <c r="O141" s="54">
        <f t="shared" si="38"/>
        <v>0</v>
      </c>
      <c r="P141" s="54">
        <f t="shared" si="39"/>
        <v>0</v>
      </c>
    </row>
    <row r="142" spans="2:16" ht="12.5">
      <c r="B142" s="7" t="str">
        <f t="shared" si="26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27"/>
        <v>0</v>
      </c>
      <c r="F142" s="55">
        <f t="shared" si="28"/>
        <v>0</v>
      </c>
      <c r="G142" s="55">
        <f t="shared" si="29"/>
        <v>0</v>
      </c>
      <c r="H142" s="113">
        <f t="shared" si="30"/>
        <v>0</v>
      </c>
      <c r="I142" s="122">
        <f t="shared" si="31"/>
        <v>0</v>
      </c>
      <c r="J142" s="54">
        <f t="shared" si="36"/>
        <v>0</v>
      </c>
      <c r="K142" s="54"/>
      <c r="L142" s="115"/>
      <c r="M142" s="54">
        <f t="shared" si="37"/>
        <v>0</v>
      </c>
      <c r="N142" s="115"/>
      <c r="O142" s="54">
        <f t="shared" si="38"/>
        <v>0</v>
      </c>
      <c r="P142" s="54">
        <f t="shared" si="39"/>
        <v>0</v>
      </c>
    </row>
    <row r="143" spans="2:16" ht="12.5">
      <c r="B143" s="7" t="str">
        <f t="shared" si="26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27"/>
        <v>0</v>
      </c>
      <c r="F143" s="55">
        <f t="shared" si="28"/>
        <v>0</v>
      </c>
      <c r="G143" s="55">
        <f t="shared" si="29"/>
        <v>0</v>
      </c>
      <c r="H143" s="113">
        <f t="shared" si="30"/>
        <v>0</v>
      </c>
      <c r="I143" s="122">
        <f t="shared" si="31"/>
        <v>0</v>
      </c>
      <c r="J143" s="54">
        <f t="shared" si="36"/>
        <v>0</v>
      </c>
      <c r="K143" s="54"/>
      <c r="L143" s="115"/>
      <c r="M143" s="54">
        <f t="shared" si="37"/>
        <v>0</v>
      </c>
      <c r="N143" s="115"/>
      <c r="O143" s="54">
        <f t="shared" si="38"/>
        <v>0</v>
      </c>
      <c r="P143" s="54">
        <f t="shared" si="39"/>
        <v>0</v>
      </c>
    </row>
    <row r="144" spans="2:16" ht="12.5">
      <c r="B144" s="7" t="str">
        <f t="shared" si="26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27"/>
        <v>0</v>
      </c>
      <c r="F144" s="55">
        <f t="shared" si="28"/>
        <v>0</v>
      </c>
      <c r="G144" s="55">
        <f t="shared" si="29"/>
        <v>0</v>
      </c>
      <c r="H144" s="113">
        <f t="shared" si="30"/>
        <v>0</v>
      </c>
      <c r="I144" s="122">
        <f t="shared" si="31"/>
        <v>0</v>
      </c>
      <c r="J144" s="54">
        <f t="shared" si="36"/>
        <v>0</v>
      </c>
      <c r="K144" s="54"/>
      <c r="L144" s="115"/>
      <c r="M144" s="54">
        <f t="shared" si="37"/>
        <v>0</v>
      </c>
      <c r="N144" s="115"/>
      <c r="O144" s="54">
        <f t="shared" si="38"/>
        <v>0</v>
      </c>
      <c r="P144" s="54">
        <f t="shared" si="39"/>
        <v>0</v>
      </c>
    </row>
    <row r="145" spans="2:16" ht="12.5">
      <c r="B145" s="7" t="str">
        <f t="shared" si="26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27"/>
        <v>0</v>
      </c>
      <c r="F145" s="55">
        <f t="shared" si="28"/>
        <v>0</v>
      </c>
      <c r="G145" s="55">
        <f t="shared" si="29"/>
        <v>0</v>
      </c>
      <c r="H145" s="113">
        <f t="shared" si="30"/>
        <v>0</v>
      </c>
      <c r="I145" s="122">
        <f t="shared" si="31"/>
        <v>0</v>
      </c>
      <c r="J145" s="54">
        <f t="shared" si="36"/>
        <v>0</v>
      </c>
      <c r="K145" s="54"/>
      <c r="L145" s="115"/>
      <c r="M145" s="54">
        <f t="shared" si="37"/>
        <v>0</v>
      </c>
      <c r="N145" s="115"/>
      <c r="O145" s="54">
        <f t="shared" si="38"/>
        <v>0</v>
      </c>
      <c r="P145" s="54">
        <f t="shared" si="39"/>
        <v>0</v>
      </c>
    </row>
    <row r="146" spans="2:16" ht="12.5">
      <c r="B146" s="7" t="str">
        <f t="shared" si="26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27"/>
        <v>0</v>
      </c>
      <c r="F146" s="55">
        <f t="shared" si="28"/>
        <v>0</v>
      </c>
      <c r="G146" s="55">
        <f t="shared" si="29"/>
        <v>0</v>
      </c>
      <c r="H146" s="113">
        <f t="shared" si="30"/>
        <v>0</v>
      </c>
      <c r="I146" s="122">
        <f t="shared" si="31"/>
        <v>0</v>
      </c>
      <c r="J146" s="54">
        <f t="shared" si="36"/>
        <v>0</v>
      </c>
      <c r="K146" s="54"/>
      <c r="L146" s="115"/>
      <c r="M146" s="54">
        <f t="shared" si="37"/>
        <v>0</v>
      </c>
      <c r="N146" s="115"/>
      <c r="O146" s="54">
        <f t="shared" si="38"/>
        <v>0</v>
      </c>
      <c r="P146" s="54">
        <f t="shared" si="39"/>
        <v>0</v>
      </c>
    </row>
    <row r="147" spans="2:16" ht="12.5">
      <c r="B147" s="7" t="str">
        <f t="shared" si="26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27"/>
        <v>0</v>
      </c>
      <c r="F147" s="55">
        <f t="shared" si="28"/>
        <v>0</v>
      </c>
      <c r="G147" s="55">
        <f t="shared" si="29"/>
        <v>0</v>
      </c>
      <c r="H147" s="113">
        <f t="shared" si="30"/>
        <v>0</v>
      </c>
      <c r="I147" s="122">
        <f t="shared" si="31"/>
        <v>0</v>
      </c>
      <c r="J147" s="54">
        <f t="shared" si="36"/>
        <v>0</v>
      </c>
      <c r="K147" s="54"/>
      <c r="L147" s="115"/>
      <c r="M147" s="54">
        <f t="shared" si="37"/>
        <v>0</v>
      </c>
      <c r="N147" s="115"/>
      <c r="O147" s="54">
        <f t="shared" si="38"/>
        <v>0</v>
      </c>
      <c r="P147" s="54">
        <f t="shared" si="39"/>
        <v>0</v>
      </c>
    </row>
    <row r="148" spans="2:16" ht="12.5">
      <c r="B148" s="7" t="str">
        <f t="shared" si="26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27"/>
        <v>0</v>
      </c>
      <c r="F148" s="55">
        <f t="shared" si="28"/>
        <v>0</v>
      </c>
      <c r="G148" s="55">
        <f t="shared" si="29"/>
        <v>0</v>
      </c>
      <c r="H148" s="113">
        <f t="shared" si="30"/>
        <v>0</v>
      </c>
      <c r="I148" s="122">
        <f t="shared" si="31"/>
        <v>0</v>
      </c>
      <c r="J148" s="54">
        <f t="shared" si="36"/>
        <v>0</v>
      </c>
      <c r="K148" s="54"/>
      <c r="L148" s="115"/>
      <c r="M148" s="54">
        <f t="shared" si="37"/>
        <v>0</v>
      </c>
      <c r="N148" s="115"/>
      <c r="O148" s="54">
        <f t="shared" si="38"/>
        <v>0</v>
      </c>
      <c r="P148" s="54">
        <f t="shared" si="39"/>
        <v>0</v>
      </c>
    </row>
    <row r="149" spans="2:16" ht="12.5">
      <c r="B149" s="7" t="str">
        <f t="shared" si="26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27"/>
        <v>0</v>
      </c>
      <c r="F149" s="55">
        <f t="shared" si="28"/>
        <v>0</v>
      </c>
      <c r="G149" s="55">
        <f t="shared" si="29"/>
        <v>0</v>
      </c>
      <c r="H149" s="113">
        <f t="shared" si="30"/>
        <v>0</v>
      </c>
      <c r="I149" s="122">
        <f t="shared" si="31"/>
        <v>0</v>
      </c>
      <c r="J149" s="54">
        <f t="shared" si="36"/>
        <v>0</v>
      </c>
      <c r="K149" s="54"/>
      <c r="L149" s="115"/>
      <c r="M149" s="54">
        <f t="shared" si="37"/>
        <v>0</v>
      </c>
      <c r="N149" s="115"/>
      <c r="O149" s="54">
        <f t="shared" si="38"/>
        <v>0</v>
      </c>
      <c r="P149" s="54">
        <f t="shared" si="39"/>
        <v>0</v>
      </c>
    </row>
    <row r="150" spans="2:16" ht="12.5">
      <c r="B150" s="7" t="str">
        <f t="shared" si="26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27"/>
        <v>0</v>
      </c>
      <c r="F150" s="55">
        <f t="shared" si="28"/>
        <v>0</v>
      </c>
      <c r="G150" s="55">
        <f t="shared" si="29"/>
        <v>0</v>
      </c>
      <c r="H150" s="113">
        <f t="shared" si="30"/>
        <v>0</v>
      </c>
      <c r="I150" s="122">
        <f t="shared" si="31"/>
        <v>0</v>
      </c>
      <c r="J150" s="54">
        <f t="shared" si="36"/>
        <v>0</v>
      </c>
      <c r="K150" s="54"/>
      <c r="L150" s="115"/>
      <c r="M150" s="54">
        <f t="shared" si="37"/>
        <v>0</v>
      </c>
      <c r="N150" s="115"/>
      <c r="O150" s="54">
        <f t="shared" si="38"/>
        <v>0</v>
      </c>
      <c r="P150" s="54">
        <f t="shared" si="39"/>
        <v>0</v>
      </c>
    </row>
    <row r="151" spans="2:16" ht="12.5">
      <c r="B151" s="7" t="str">
        <f t="shared" si="26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27"/>
        <v>0</v>
      </c>
      <c r="F151" s="55">
        <f t="shared" si="28"/>
        <v>0</v>
      </c>
      <c r="G151" s="55">
        <f t="shared" si="29"/>
        <v>0</v>
      </c>
      <c r="H151" s="113">
        <f t="shared" si="30"/>
        <v>0</v>
      </c>
      <c r="I151" s="122">
        <f t="shared" si="31"/>
        <v>0</v>
      </c>
      <c r="J151" s="54">
        <f t="shared" si="36"/>
        <v>0</v>
      </c>
      <c r="K151" s="54"/>
      <c r="L151" s="115"/>
      <c r="M151" s="54">
        <f t="shared" si="37"/>
        <v>0</v>
      </c>
      <c r="N151" s="115"/>
      <c r="O151" s="54">
        <f t="shared" si="38"/>
        <v>0</v>
      </c>
      <c r="P151" s="54">
        <f t="shared" si="39"/>
        <v>0</v>
      </c>
    </row>
    <row r="152" spans="2:16" ht="12.5">
      <c r="B152" s="7" t="str">
        <f t="shared" si="26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27"/>
        <v>0</v>
      </c>
      <c r="F152" s="55">
        <f t="shared" si="28"/>
        <v>0</v>
      </c>
      <c r="G152" s="55">
        <f t="shared" si="29"/>
        <v>0</v>
      </c>
      <c r="H152" s="113">
        <f t="shared" si="30"/>
        <v>0</v>
      </c>
      <c r="I152" s="122">
        <f t="shared" si="31"/>
        <v>0</v>
      </c>
      <c r="J152" s="54">
        <f t="shared" si="36"/>
        <v>0</v>
      </c>
      <c r="K152" s="54"/>
      <c r="L152" s="115"/>
      <c r="M152" s="54">
        <f t="shared" si="37"/>
        <v>0</v>
      </c>
      <c r="N152" s="115"/>
      <c r="O152" s="54">
        <f t="shared" si="38"/>
        <v>0</v>
      </c>
      <c r="P152" s="54">
        <f t="shared" si="39"/>
        <v>0</v>
      </c>
    </row>
    <row r="153" spans="2:16" ht="12.5">
      <c r="B153" s="7" t="str">
        <f t="shared" si="26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27"/>
        <v>0</v>
      </c>
      <c r="F153" s="55">
        <f t="shared" si="28"/>
        <v>0</v>
      </c>
      <c r="G153" s="55">
        <f t="shared" si="29"/>
        <v>0</v>
      </c>
      <c r="H153" s="113">
        <f t="shared" si="30"/>
        <v>0</v>
      </c>
      <c r="I153" s="122">
        <f t="shared" si="31"/>
        <v>0</v>
      </c>
      <c r="J153" s="54">
        <f t="shared" si="36"/>
        <v>0</v>
      </c>
      <c r="K153" s="54"/>
      <c r="L153" s="115"/>
      <c r="M153" s="54">
        <f t="shared" si="37"/>
        <v>0</v>
      </c>
      <c r="N153" s="115"/>
      <c r="O153" s="54">
        <f t="shared" si="38"/>
        <v>0</v>
      </c>
      <c r="P153" s="54">
        <f t="shared" si="39"/>
        <v>0</v>
      </c>
    </row>
    <row r="154" spans="2:16" ht="13" thickBot="1">
      <c r="B154" s="7" t="str">
        <f t="shared" si="26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27"/>
        <v>0</v>
      </c>
      <c r="F154" s="59">
        <f t="shared" si="28"/>
        <v>0</v>
      </c>
      <c r="G154" s="59">
        <f t="shared" si="29"/>
        <v>0</v>
      </c>
      <c r="H154" s="123">
        <f t="shared" si="30"/>
        <v>0</v>
      </c>
      <c r="I154" s="124">
        <f t="shared" si="31"/>
        <v>0</v>
      </c>
      <c r="J154" s="62">
        <f t="shared" si="36"/>
        <v>0</v>
      </c>
      <c r="K154" s="54"/>
      <c r="L154" s="116"/>
      <c r="M154" s="62">
        <f t="shared" si="37"/>
        <v>0</v>
      </c>
      <c r="N154" s="116"/>
      <c r="O154" s="62">
        <f t="shared" si="38"/>
        <v>0</v>
      </c>
      <c r="P154" s="62">
        <f t="shared" si="39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58"/>
  <dimension ref="A1:V162"/>
  <sheetViews>
    <sheetView topLeftCell="A62"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34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205385.33321004748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205385.33321004748</v>
      </c>
      <c r="O6" s="1"/>
      <c r="P6" s="1"/>
    </row>
    <row r="7" spans="1:16" ht="13.5" thickBot="1">
      <c r="C7" s="26" t="s">
        <v>46</v>
      </c>
      <c r="D7" s="88" t="s">
        <v>420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421</v>
      </c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1453224.1645122203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12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38242.741171374219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3">
      <c r="B17" s="7"/>
      <c r="C17" s="449">
        <f>IF(D11= "","-",D11)</f>
        <v>2025</v>
      </c>
      <c r="D17" s="115">
        <v>0</v>
      </c>
      <c r="E17" s="115">
        <v>10433.798805362831</v>
      </c>
      <c r="F17" s="115">
        <v>584292.73310031858</v>
      </c>
      <c r="G17" s="115">
        <v>43623.523299029308</v>
      </c>
      <c r="H17" s="115">
        <v>43623.523299029308</v>
      </c>
      <c r="I17" s="52">
        <f>H17-G17</f>
        <v>0</v>
      </c>
      <c r="J17" s="52"/>
      <c r="K17" s="324">
        <f>+G17</f>
        <v>43623.523299029308</v>
      </c>
      <c r="L17" s="54">
        <f t="shared" ref="L17" si="0">IF(K17&lt;&gt;0,+G17-K17,0)</f>
        <v>0</v>
      </c>
      <c r="M17" s="324">
        <f>+H17</f>
        <v>43623.523299029308</v>
      </c>
      <c r="N17" s="54">
        <f t="shared" ref="N17" si="1">IF(M17&lt;&gt;0,+H17-M17,0)</f>
        <v>0</v>
      </c>
      <c r="O17" s="54">
        <f t="shared" ref="O17" si="2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2026</v>
      </c>
      <c r="D18" s="55">
        <f>IF(F17+SUM(E$17:E17)=D$10,F17,D$10-SUM(E$17:E17))</f>
        <v>1442790.3657068575</v>
      </c>
      <c r="E18" s="56">
        <f>IF(+I$14&lt;F17,I$14,D18)</f>
        <v>38242.741171374219</v>
      </c>
      <c r="F18" s="55">
        <f>+D18-E18</f>
        <v>1404547.6245354833</v>
      </c>
      <c r="G18" s="57">
        <f>(D18+F18)/2*I$12+E18</f>
        <v>205385.33321004748</v>
      </c>
      <c r="H18" s="42">
        <f>+(D18+F18)/2*I$13+E18</f>
        <v>205385.33321004748</v>
      </c>
      <c r="I18" s="52">
        <f>H18-G18</f>
        <v>0</v>
      </c>
      <c r="J18" s="52"/>
      <c r="K18" s="115"/>
      <c r="L18" s="54">
        <f t="shared" ref="L18:L48" si="3">IF(K18&lt;&gt;0,+G18-K18,0)</f>
        <v>0</v>
      </c>
      <c r="M18" s="115"/>
      <c r="N18" s="54">
        <f t="shared" ref="N18:N48" si="4">IF(M18&lt;&gt;0,+H18-M18,0)</f>
        <v>0</v>
      </c>
      <c r="O18" s="54">
        <f t="shared" ref="O18:O48" si="5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1404547.6245354833</v>
      </c>
      <c r="E19" s="56">
        <f t="shared" ref="E19:E71" si="6">IF(+I$14&lt;F18,I$14,D19)</f>
        <v>38242.741171374219</v>
      </c>
      <c r="F19" s="55">
        <f t="shared" ref="F19:F71" si="7">+D19-E19</f>
        <v>1366304.8833641091</v>
      </c>
      <c r="G19" s="57">
        <f t="shared" ref="G19:G71" si="8">(D19+F19)/2*I$12+E19</f>
        <v>200895.53192340536</v>
      </c>
      <c r="H19" s="42">
        <f t="shared" ref="H19:H71" si="9">+(D19+F19)/2*I$13+E19</f>
        <v>200895.53192340536</v>
      </c>
      <c r="I19" s="52">
        <f t="shared" ref="I19:I71" si="10">H19-G19</f>
        <v>0</v>
      </c>
      <c r="J19" s="52"/>
      <c r="K19" s="115"/>
      <c r="L19" s="54">
        <f t="shared" si="3"/>
        <v>0</v>
      </c>
      <c r="M19" s="115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2028</v>
      </c>
      <c r="D20" s="55">
        <f>IF(F19+SUM(E$17:E19)=D$10,F19,D$10-SUM(E$17:E19))</f>
        <v>1366304.8833641091</v>
      </c>
      <c r="E20" s="56">
        <f t="shared" si="6"/>
        <v>38242.741171374219</v>
      </c>
      <c r="F20" s="55">
        <f t="shared" si="7"/>
        <v>1328062.1421927349</v>
      </c>
      <c r="G20" s="57">
        <f t="shared" si="8"/>
        <v>196405.73063676318</v>
      </c>
      <c r="H20" s="42">
        <f t="shared" si="9"/>
        <v>196405.73063676318</v>
      </c>
      <c r="I20" s="52">
        <f t="shared" si="10"/>
        <v>0</v>
      </c>
      <c r="J20" s="52"/>
      <c r="K20" s="115"/>
      <c r="L20" s="54">
        <f t="shared" si="3"/>
        <v>0</v>
      </c>
      <c r="M20" s="115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11"/>
        <v/>
      </c>
      <c r="C21" s="50">
        <f>IF(D11="","-",+C20+1)</f>
        <v>2029</v>
      </c>
      <c r="D21" s="55">
        <f>IF(F20+SUM(E$17:E20)=D$10,F20,D$10-SUM(E$17:E20))</f>
        <v>1328062.1421927349</v>
      </c>
      <c r="E21" s="56">
        <f t="shared" si="6"/>
        <v>38242.741171374219</v>
      </c>
      <c r="F21" s="55">
        <f t="shared" si="7"/>
        <v>1289819.4010213607</v>
      </c>
      <c r="G21" s="57">
        <f t="shared" si="8"/>
        <v>191915.92935012106</v>
      </c>
      <c r="H21" s="42">
        <f t="shared" si="9"/>
        <v>191915.92935012106</v>
      </c>
      <c r="I21" s="52">
        <f t="shared" si="10"/>
        <v>0</v>
      </c>
      <c r="J21" s="52"/>
      <c r="K21" s="115"/>
      <c r="L21" s="54">
        <f t="shared" si="3"/>
        <v>0</v>
      </c>
      <c r="M21" s="115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11"/>
        <v/>
      </c>
      <c r="C22" s="50">
        <f>IF(D11="","-",+C21+1)</f>
        <v>2030</v>
      </c>
      <c r="D22" s="55">
        <f>IF(F21+SUM(E$17:E21)=D$10,F21,D$10-SUM(E$17:E21))</f>
        <v>1289819.4010213607</v>
      </c>
      <c r="E22" s="56">
        <f t="shared" si="6"/>
        <v>38242.741171374219</v>
      </c>
      <c r="F22" s="55">
        <f t="shared" si="7"/>
        <v>1251576.6598499864</v>
      </c>
      <c r="G22" s="57">
        <f t="shared" si="8"/>
        <v>187426.12806347886</v>
      </c>
      <c r="H22" s="42">
        <f t="shared" si="9"/>
        <v>187426.12806347886</v>
      </c>
      <c r="I22" s="52">
        <f t="shared" si="10"/>
        <v>0</v>
      </c>
      <c r="J22" s="52"/>
      <c r="K22" s="115"/>
      <c r="L22" s="54">
        <f t="shared" si="3"/>
        <v>0</v>
      </c>
      <c r="M22" s="115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11"/>
        <v/>
      </c>
      <c r="C23" s="50">
        <f>IF(D11="","-",+C22+1)</f>
        <v>2031</v>
      </c>
      <c r="D23" s="55">
        <f>IF(F22+SUM(E$17:E22)=D$10,F22,D$10-SUM(E$17:E22))</f>
        <v>1251576.6598499864</v>
      </c>
      <c r="E23" s="56">
        <f t="shared" si="6"/>
        <v>38242.741171374219</v>
      </c>
      <c r="F23" s="55">
        <f t="shared" si="7"/>
        <v>1213333.9186786122</v>
      </c>
      <c r="G23" s="57">
        <f t="shared" si="8"/>
        <v>182936.32677683674</v>
      </c>
      <c r="H23" s="42">
        <f t="shared" si="9"/>
        <v>182936.32677683674</v>
      </c>
      <c r="I23" s="52">
        <f t="shared" si="10"/>
        <v>0</v>
      </c>
      <c r="J23" s="52"/>
      <c r="K23" s="115"/>
      <c r="L23" s="54">
        <f t="shared" si="3"/>
        <v>0</v>
      </c>
      <c r="M23" s="115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11"/>
        <v/>
      </c>
      <c r="C24" s="50">
        <f>IF(D11="","-",+C23+1)</f>
        <v>2032</v>
      </c>
      <c r="D24" s="55">
        <f>IF(F23+SUM(E$17:E23)=D$10,F23,D$10-SUM(E$17:E23))</f>
        <v>1213333.9186786122</v>
      </c>
      <c r="E24" s="56">
        <f t="shared" si="6"/>
        <v>38242.741171374219</v>
      </c>
      <c r="F24" s="55">
        <f t="shared" si="7"/>
        <v>1175091.177507238</v>
      </c>
      <c r="G24" s="57">
        <f t="shared" si="8"/>
        <v>178446.52549019456</v>
      </c>
      <c r="H24" s="42">
        <f t="shared" si="9"/>
        <v>178446.52549019456</v>
      </c>
      <c r="I24" s="52">
        <f t="shared" si="10"/>
        <v>0</v>
      </c>
      <c r="J24" s="52"/>
      <c r="K24" s="115"/>
      <c r="L24" s="54">
        <f t="shared" si="3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11"/>
        <v/>
      </c>
      <c r="C25" s="50">
        <f>IF(D11="","-",+C24+1)</f>
        <v>2033</v>
      </c>
      <c r="D25" s="55">
        <f>IF(F24+SUM(E$17:E24)=D$10,F24,D$10-SUM(E$17:E24))</f>
        <v>1175091.177507238</v>
      </c>
      <c r="E25" s="56">
        <f t="shared" si="6"/>
        <v>38242.741171374219</v>
      </c>
      <c r="F25" s="55">
        <f t="shared" si="7"/>
        <v>1136848.4363358638</v>
      </c>
      <c r="G25" s="57">
        <f t="shared" si="8"/>
        <v>173956.72420355244</v>
      </c>
      <c r="H25" s="42">
        <f t="shared" si="9"/>
        <v>173956.72420355244</v>
      </c>
      <c r="I25" s="52">
        <f t="shared" si="10"/>
        <v>0</v>
      </c>
      <c r="J25" s="52"/>
      <c r="K25" s="115"/>
      <c r="L25" s="54">
        <f t="shared" si="3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11"/>
        <v/>
      </c>
      <c r="C26" s="50">
        <f>IF(D11="","-",+C25+1)</f>
        <v>2034</v>
      </c>
      <c r="D26" s="55">
        <f>IF(F25+SUM(E$17:E25)=D$10,F25,D$10-SUM(E$17:E25))</f>
        <v>1136848.4363358638</v>
      </c>
      <c r="E26" s="56">
        <f t="shared" si="6"/>
        <v>38242.741171374219</v>
      </c>
      <c r="F26" s="55">
        <f t="shared" si="7"/>
        <v>1098605.6951644896</v>
      </c>
      <c r="G26" s="57">
        <f t="shared" si="8"/>
        <v>169466.92291691023</v>
      </c>
      <c r="H26" s="42">
        <f t="shared" si="9"/>
        <v>169466.92291691023</v>
      </c>
      <c r="I26" s="52">
        <f t="shared" si="10"/>
        <v>0</v>
      </c>
      <c r="J26" s="52"/>
      <c r="K26" s="115"/>
      <c r="L26" s="54">
        <f t="shared" si="3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11"/>
        <v/>
      </c>
      <c r="C27" s="50">
        <f>IF(D11="","-",+C26+1)</f>
        <v>2035</v>
      </c>
      <c r="D27" s="55">
        <f>IF(F26+SUM(E$17:E26)=D$10,F26,D$10-SUM(E$17:E26))</f>
        <v>1098605.6951644896</v>
      </c>
      <c r="E27" s="56">
        <f t="shared" si="6"/>
        <v>38242.741171374219</v>
      </c>
      <c r="F27" s="55">
        <f t="shared" si="7"/>
        <v>1060362.9539931153</v>
      </c>
      <c r="G27" s="57">
        <f t="shared" si="8"/>
        <v>164977.12163026811</v>
      </c>
      <c r="H27" s="42">
        <f t="shared" si="9"/>
        <v>164977.12163026811</v>
      </c>
      <c r="I27" s="52">
        <f t="shared" si="10"/>
        <v>0</v>
      </c>
      <c r="J27" s="52"/>
      <c r="K27" s="115"/>
      <c r="L27" s="54">
        <f t="shared" si="3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11"/>
        <v/>
      </c>
      <c r="C28" s="50">
        <f>IF(D11="","-",+C27+1)</f>
        <v>2036</v>
      </c>
      <c r="D28" s="55">
        <f>IF(F27+SUM(E$17:E27)=D$10,F27,D$10-SUM(E$17:E27))</f>
        <v>1060362.9539931153</v>
      </c>
      <c r="E28" s="56">
        <f t="shared" si="6"/>
        <v>38242.741171374219</v>
      </c>
      <c r="F28" s="55">
        <f t="shared" si="7"/>
        <v>1022120.2128217411</v>
      </c>
      <c r="G28" s="57">
        <f t="shared" si="8"/>
        <v>160487.32034362596</v>
      </c>
      <c r="H28" s="42">
        <f t="shared" si="9"/>
        <v>160487.32034362596</v>
      </c>
      <c r="I28" s="52">
        <f t="shared" si="10"/>
        <v>0</v>
      </c>
      <c r="J28" s="52"/>
      <c r="K28" s="115"/>
      <c r="L28" s="54">
        <f t="shared" si="3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11"/>
        <v/>
      </c>
      <c r="C29" s="50">
        <f>IF(D11="","-",+C28+1)</f>
        <v>2037</v>
      </c>
      <c r="D29" s="55">
        <f>IF(F28+SUM(E$17:E28)=D$10,F28,D$10-SUM(E$17:E28))</f>
        <v>1022120.2128217411</v>
      </c>
      <c r="E29" s="56">
        <f t="shared" si="6"/>
        <v>38242.741171374219</v>
      </c>
      <c r="F29" s="55">
        <f t="shared" si="7"/>
        <v>983877.4716503669</v>
      </c>
      <c r="G29" s="57">
        <f t="shared" si="8"/>
        <v>155997.51905698379</v>
      </c>
      <c r="H29" s="42">
        <f t="shared" si="9"/>
        <v>155997.51905698379</v>
      </c>
      <c r="I29" s="52">
        <f t="shared" si="10"/>
        <v>0</v>
      </c>
      <c r="J29" s="52"/>
      <c r="K29" s="115"/>
      <c r="L29" s="54">
        <f t="shared" si="3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11"/>
        <v/>
      </c>
      <c r="C30" s="50">
        <f>IF(D11="","-",+C29+1)</f>
        <v>2038</v>
      </c>
      <c r="D30" s="55">
        <f>IF(F29+SUM(E$17:E29)=D$10,F29,D$10-SUM(E$17:E29))</f>
        <v>983877.4716503669</v>
      </c>
      <c r="E30" s="56">
        <f t="shared" si="6"/>
        <v>38242.741171374219</v>
      </c>
      <c r="F30" s="55">
        <f t="shared" si="7"/>
        <v>945634.73047899269</v>
      </c>
      <c r="G30" s="57">
        <f t="shared" si="8"/>
        <v>151507.71777034164</v>
      </c>
      <c r="H30" s="42">
        <f t="shared" si="9"/>
        <v>151507.71777034164</v>
      </c>
      <c r="I30" s="52">
        <f t="shared" si="10"/>
        <v>0</v>
      </c>
      <c r="J30" s="52"/>
      <c r="K30" s="115"/>
      <c r="L30" s="54">
        <f t="shared" si="3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11"/>
        <v/>
      </c>
      <c r="C31" s="50">
        <f>IF(D11="","-",+C30+1)</f>
        <v>2039</v>
      </c>
      <c r="D31" s="55">
        <f>IF(F30+SUM(E$17:E30)=D$10,F30,D$10-SUM(E$17:E30))</f>
        <v>945634.73047899269</v>
      </c>
      <c r="E31" s="56">
        <f t="shared" si="6"/>
        <v>38242.741171374219</v>
      </c>
      <c r="F31" s="55">
        <f t="shared" si="7"/>
        <v>907391.98930761847</v>
      </c>
      <c r="G31" s="57">
        <f t="shared" si="8"/>
        <v>147017.91648369946</v>
      </c>
      <c r="H31" s="42">
        <f t="shared" si="9"/>
        <v>147017.91648369946</v>
      </c>
      <c r="I31" s="52">
        <f t="shared" si="10"/>
        <v>0</v>
      </c>
      <c r="J31" s="52"/>
      <c r="K31" s="115"/>
      <c r="L31" s="54">
        <f t="shared" si="3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11"/>
        <v/>
      </c>
      <c r="C32" s="50">
        <f>IF(D11="","-",+C31+1)</f>
        <v>2040</v>
      </c>
      <c r="D32" s="55">
        <f>IF(F31+SUM(E$17:E31)=D$10,F31,D$10-SUM(E$17:E31))</f>
        <v>907391.98930761847</v>
      </c>
      <c r="E32" s="56">
        <f t="shared" si="6"/>
        <v>38242.741171374219</v>
      </c>
      <c r="F32" s="55">
        <f t="shared" si="7"/>
        <v>869149.24813624425</v>
      </c>
      <c r="G32" s="57">
        <f t="shared" si="8"/>
        <v>142528.11519705731</v>
      </c>
      <c r="H32" s="42">
        <f t="shared" si="9"/>
        <v>142528.11519705731</v>
      </c>
      <c r="I32" s="52">
        <f t="shared" si="10"/>
        <v>0</v>
      </c>
      <c r="J32" s="52"/>
      <c r="K32" s="115"/>
      <c r="L32" s="54">
        <f t="shared" si="3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11"/>
        <v/>
      </c>
      <c r="C33" s="50">
        <f>IF(D11="","-",+C32+1)</f>
        <v>2041</v>
      </c>
      <c r="D33" s="55">
        <f>IF(F32+SUM(E$17:E32)=D$10,F32,D$10-SUM(E$17:E32))</f>
        <v>869149.24813624425</v>
      </c>
      <c r="E33" s="56">
        <f t="shared" si="6"/>
        <v>38242.741171374219</v>
      </c>
      <c r="F33" s="55">
        <f t="shared" si="7"/>
        <v>830906.50696487003</v>
      </c>
      <c r="G33" s="57">
        <f t="shared" si="8"/>
        <v>138038.31391041516</v>
      </c>
      <c r="H33" s="42">
        <f t="shared" si="9"/>
        <v>138038.31391041516</v>
      </c>
      <c r="I33" s="52">
        <f t="shared" si="10"/>
        <v>0</v>
      </c>
      <c r="J33" s="52"/>
      <c r="K33" s="115"/>
      <c r="L33" s="54">
        <f t="shared" si="3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11"/>
        <v/>
      </c>
      <c r="C34" s="50">
        <f>IF(D11="","-",+C33+1)</f>
        <v>2042</v>
      </c>
      <c r="D34" s="55">
        <f>IF(F33+SUM(E$17:E33)=D$10,F33,D$10-SUM(E$17:E33))</f>
        <v>830906.50696487003</v>
      </c>
      <c r="E34" s="56">
        <f t="shared" si="6"/>
        <v>38242.741171374219</v>
      </c>
      <c r="F34" s="55">
        <f t="shared" si="7"/>
        <v>792663.76579349581</v>
      </c>
      <c r="G34" s="57">
        <f t="shared" si="8"/>
        <v>133548.51262377301</v>
      </c>
      <c r="H34" s="42">
        <f t="shared" si="9"/>
        <v>133548.51262377301</v>
      </c>
      <c r="I34" s="52">
        <f t="shared" si="10"/>
        <v>0</v>
      </c>
      <c r="J34" s="52"/>
      <c r="K34" s="115"/>
      <c r="L34" s="54">
        <f t="shared" si="3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11"/>
        <v/>
      </c>
      <c r="C35" s="50">
        <f>IF(D11="","-",+C34+1)</f>
        <v>2043</v>
      </c>
      <c r="D35" s="55">
        <f>IF(F34+SUM(E$17:E34)=D$10,F34,D$10-SUM(E$17:E34))</f>
        <v>792663.76579349581</v>
      </c>
      <c r="E35" s="56">
        <f t="shared" si="6"/>
        <v>38242.741171374219</v>
      </c>
      <c r="F35" s="55">
        <f t="shared" si="7"/>
        <v>754421.02462212159</v>
      </c>
      <c r="G35" s="57">
        <f t="shared" si="8"/>
        <v>129058.71133713087</v>
      </c>
      <c r="H35" s="42">
        <f t="shared" si="9"/>
        <v>129058.71133713087</v>
      </c>
      <c r="I35" s="52">
        <f t="shared" si="10"/>
        <v>0</v>
      </c>
      <c r="J35" s="52"/>
      <c r="K35" s="115"/>
      <c r="L35" s="54">
        <f t="shared" si="3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11"/>
        <v/>
      </c>
      <c r="C36" s="50">
        <f>IF(D11="","-",+C35+1)</f>
        <v>2044</v>
      </c>
      <c r="D36" s="55">
        <f>IF(F35+SUM(E$17:E35)=D$10,F35,D$10-SUM(E$17:E35))</f>
        <v>754421.02462212159</v>
      </c>
      <c r="E36" s="56">
        <f t="shared" si="6"/>
        <v>38242.741171374219</v>
      </c>
      <c r="F36" s="55">
        <f t="shared" si="7"/>
        <v>716178.28345074737</v>
      </c>
      <c r="G36" s="57">
        <f t="shared" si="8"/>
        <v>124568.9100504887</v>
      </c>
      <c r="H36" s="42">
        <f t="shared" si="9"/>
        <v>124568.9100504887</v>
      </c>
      <c r="I36" s="52">
        <f t="shared" si="10"/>
        <v>0</v>
      </c>
      <c r="J36" s="52"/>
      <c r="K36" s="115"/>
      <c r="L36" s="54">
        <f t="shared" si="3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11"/>
        <v/>
      </c>
      <c r="C37" s="50">
        <f>IF(D11="","-",+C36+1)</f>
        <v>2045</v>
      </c>
      <c r="D37" s="55">
        <f>IF(F36+SUM(E$17:E36)=D$10,F36,D$10-SUM(E$17:E36))</f>
        <v>716178.28345074737</v>
      </c>
      <c r="E37" s="56">
        <f t="shared" si="6"/>
        <v>38242.741171374219</v>
      </c>
      <c r="F37" s="55">
        <f t="shared" si="7"/>
        <v>677935.54227937316</v>
      </c>
      <c r="G37" s="57">
        <f t="shared" si="8"/>
        <v>120079.10876384655</v>
      </c>
      <c r="H37" s="42">
        <f t="shared" si="9"/>
        <v>120079.10876384655</v>
      </c>
      <c r="I37" s="52">
        <f t="shared" si="10"/>
        <v>0</v>
      </c>
      <c r="J37" s="52"/>
      <c r="K37" s="115"/>
      <c r="L37" s="54">
        <f t="shared" si="3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11"/>
        <v/>
      </c>
      <c r="C38" s="50">
        <f>IF(D11="","-",+C37+1)</f>
        <v>2046</v>
      </c>
      <c r="D38" s="55">
        <f>IF(F37+SUM(E$17:E37)=D$10,F37,D$10-SUM(E$17:E37))</f>
        <v>677935.54227937316</v>
      </c>
      <c r="E38" s="56">
        <f t="shared" si="6"/>
        <v>38242.741171374219</v>
      </c>
      <c r="F38" s="55">
        <f t="shared" si="7"/>
        <v>639692.80110799894</v>
      </c>
      <c r="G38" s="57">
        <f t="shared" si="8"/>
        <v>115589.30747720439</v>
      </c>
      <c r="H38" s="42">
        <f t="shared" si="9"/>
        <v>115589.30747720439</v>
      </c>
      <c r="I38" s="52">
        <f t="shared" si="10"/>
        <v>0</v>
      </c>
      <c r="J38" s="52"/>
      <c r="K38" s="115"/>
      <c r="L38" s="54">
        <f t="shared" si="3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11"/>
        <v/>
      </c>
      <c r="C39" s="50">
        <f>IF(D11="","-",+C38+1)</f>
        <v>2047</v>
      </c>
      <c r="D39" s="55">
        <f>IF(F38+SUM(E$17:E38)=D$10,F38,D$10-SUM(E$17:E38))</f>
        <v>639692.80110799894</v>
      </c>
      <c r="E39" s="56">
        <f t="shared" si="6"/>
        <v>38242.741171374219</v>
      </c>
      <c r="F39" s="55">
        <f t="shared" si="7"/>
        <v>601450.05993662472</v>
      </c>
      <c r="G39" s="57">
        <f t="shared" si="8"/>
        <v>111099.50619056224</v>
      </c>
      <c r="H39" s="42">
        <f t="shared" si="9"/>
        <v>111099.50619056224</v>
      </c>
      <c r="I39" s="52">
        <f t="shared" si="10"/>
        <v>0</v>
      </c>
      <c r="J39" s="52"/>
      <c r="K39" s="115"/>
      <c r="L39" s="54">
        <f t="shared" si="3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11"/>
        <v/>
      </c>
      <c r="C40" s="50">
        <f>IF(D11="","-",+C39+1)</f>
        <v>2048</v>
      </c>
      <c r="D40" s="55">
        <f>IF(F39+SUM(E$17:E39)=D$10,F39,D$10-SUM(E$17:E39))</f>
        <v>601450.05993662472</v>
      </c>
      <c r="E40" s="56">
        <f t="shared" si="6"/>
        <v>38242.741171374219</v>
      </c>
      <c r="F40" s="55">
        <f t="shared" si="7"/>
        <v>563207.3187652505</v>
      </c>
      <c r="G40" s="57">
        <f t="shared" si="8"/>
        <v>106609.70490392008</v>
      </c>
      <c r="H40" s="42">
        <f t="shared" si="9"/>
        <v>106609.70490392008</v>
      </c>
      <c r="I40" s="52">
        <f t="shared" si="10"/>
        <v>0</v>
      </c>
      <c r="J40" s="52"/>
      <c r="K40" s="115"/>
      <c r="L40" s="54">
        <f t="shared" si="3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11"/>
        <v/>
      </c>
      <c r="C41" s="50">
        <f>IF(D11="","-",+C40+1)</f>
        <v>2049</v>
      </c>
      <c r="D41" s="55">
        <f>IF(F40+SUM(E$17:E40)=D$10,F40,D$10-SUM(E$17:E40))</f>
        <v>563207.3187652505</v>
      </c>
      <c r="E41" s="56">
        <f t="shared" si="6"/>
        <v>38242.741171374219</v>
      </c>
      <c r="F41" s="55">
        <f t="shared" si="7"/>
        <v>524964.57759387628</v>
      </c>
      <c r="G41" s="57">
        <f t="shared" si="8"/>
        <v>102119.90361727792</v>
      </c>
      <c r="H41" s="42">
        <f t="shared" si="9"/>
        <v>102119.90361727792</v>
      </c>
      <c r="I41" s="52">
        <f t="shared" si="10"/>
        <v>0</v>
      </c>
      <c r="J41" s="52"/>
      <c r="K41" s="115"/>
      <c r="L41" s="54">
        <f t="shared" si="3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11"/>
        <v/>
      </c>
      <c r="C42" s="50">
        <f>IF(D11="","-",+C41+1)</f>
        <v>2050</v>
      </c>
      <c r="D42" s="55">
        <f>IF(F41+SUM(E$17:E41)=D$10,F41,D$10-SUM(E$17:E41))</f>
        <v>524964.57759387628</v>
      </c>
      <c r="E42" s="56">
        <f t="shared" si="6"/>
        <v>38242.741171374219</v>
      </c>
      <c r="F42" s="55">
        <f t="shared" si="7"/>
        <v>486721.83642250206</v>
      </c>
      <c r="G42" s="57">
        <f t="shared" si="8"/>
        <v>97630.102330635767</v>
      </c>
      <c r="H42" s="42">
        <f t="shared" si="9"/>
        <v>97630.102330635767</v>
      </c>
      <c r="I42" s="52">
        <f t="shared" si="10"/>
        <v>0</v>
      </c>
      <c r="J42" s="52"/>
      <c r="K42" s="115"/>
      <c r="L42" s="54">
        <f t="shared" si="3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11"/>
        <v/>
      </c>
      <c r="C43" s="50">
        <f>IF(D11="","-",+C42+1)</f>
        <v>2051</v>
      </c>
      <c r="D43" s="55">
        <f>IF(F42+SUM(E$17:E42)=D$10,F42,D$10-SUM(E$17:E42))</f>
        <v>486721.83642250206</v>
      </c>
      <c r="E43" s="56">
        <f t="shared" si="6"/>
        <v>38242.741171374219</v>
      </c>
      <c r="F43" s="55">
        <f t="shared" si="7"/>
        <v>448479.09525112784</v>
      </c>
      <c r="G43" s="57">
        <f t="shared" si="8"/>
        <v>93140.301043993619</v>
      </c>
      <c r="H43" s="42">
        <f t="shared" si="9"/>
        <v>93140.301043993619</v>
      </c>
      <c r="I43" s="52">
        <f t="shared" si="10"/>
        <v>0</v>
      </c>
      <c r="J43" s="52"/>
      <c r="K43" s="115"/>
      <c r="L43" s="54">
        <f t="shared" si="3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11"/>
        <v/>
      </c>
      <c r="C44" s="50">
        <f>IF(D11="","-",+C43+1)</f>
        <v>2052</v>
      </c>
      <c r="D44" s="55">
        <f>IF(F43+SUM(E$17:E43)=D$10,F43,D$10-SUM(E$17:E43))</f>
        <v>448479.09525112784</v>
      </c>
      <c r="E44" s="56">
        <f t="shared" si="6"/>
        <v>38242.741171374219</v>
      </c>
      <c r="F44" s="55">
        <f t="shared" si="7"/>
        <v>410236.35407975363</v>
      </c>
      <c r="G44" s="57">
        <f t="shared" si="8"/>
        <v>88650.49975735147</v>
      </c>
      <c r="H44" s="42">
        <f t="shared" si="9"/>
        <v>88650.49975735147</v>
      </c>
      <c r="I44" s="52">
        <f t="shared" si="10"/>
        <v>0</v>
      </c>
      <c r="J44" s="52"/>
      <c r="K44" s="115"/>
      <c r="L44" s="54">
        <f t="shared" si="3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11"/>
        <v/>
      </c>
      <c r="C45" s="50">
        <f>IF(D11="","-",+C44+1)</f>
        <v>2053</v>
      </c>
      <c r="D45" s="55">
        <f>IF(F44+SUM(E$17:E44)=D$10,F44,D$10-SUM(E$17:E44))</f>
        <v>410236.35407975363</v>
      </c>
      <c r="E45" s="56">
        <f t="shared" si="6"/>
        <v>38242.741171374219</v>
      </c>
      <c r="F45" s="55">
        <f t="shared" si="7"/>
        <v>371993.61290837941</v>
      </c>
      <c r="G45" s="57">
        <f t="shared" si="8"/>
        <v>84160.698470709307</v>
      </c>
      <c r="H45" s="42">
        <f t="shared" si="9"/>
        <v>84160.698470709307</v>
      </c>
      <c r="I45" s="52">
        <f t="shared" si="10"/>
        <v>0</v>
      </c>
      <c r="J45" s="52"/>
      <c r="K45" s="115"/>
      <c r="L45" s="54">
        <f t="shared" si="3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11"/>
        <v/>
      </c>
      <c r="C46" s="50">
        <f>IF(D11="","-",+C45+1)</f>
        <v>2054</v>
      </c>
      <c r="D46" s="55">
        <f>IF(F45+SUM(E$17:E45)=D$10,F45,D$10-SUM(E$17:E45))</f>
        <v>371993.61290837941</v>
      </c>
      <c r="E46" s="56">
        <f t="shared" si="6"/>
        <v>38242.741171374219</v>
      </c>
      <c r="F46" s="55">
        <f t="shared" si="7"/>
        <v>333750.87173700519</v>
      </c>
      <c r="G46" s="57">
        <f t="shared" si="8"/>
        <v>79670.897184067144</v>
      </c>
      <c r="H46" s="42">
        <f t="shared" si="9"/>
        <v>79670.897184067144</v>
      </c>
      <c r="I46" s="52">
        <f t="shared" si="10"/>
        <v>0</v>
      </c>
      <c r="J46" s="52"/>
      <c r="K46" s="115"/>
      <c r="L46" s="54">
        <f t="shared" si="3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11"/>
        <v/>
      </c>
      <c r="C47" s="50">
        <f>IF(D11="","-",+C46+1)</f>
        <v>2055</v>
      </c>
      <c r="D47" s="55">
        <f>IF(F46+SUM(E$17:E46)=D$10,F46,D$10-SUM(E$17:E46))</f>
        <v>333750.87173700519</v>
      </c>
      <c r="E47" s="56">
        <f t="shared" si="6"/>
        <v>38242.741171374219</v>
      </c>
      <c r="F47" s="55">
        <f t="shared" si="7"/>
        <v>295508.13056563097</v>
      </c>
      <c r="G47" s="57">
        <f t="shared" si="8"/>
        <v>75181.095897424995</v>
      </c>
      <c r="H47" s="42">
        <f t="shared" si="9"/>
        <v>75181.095897424995</v>
      </c>
      <c r="I47" s="52">
        <f t="shared" si="10"/>
        <v>0</v>
      </c>
      <c r="J47" s="52"/>
      <c r="K47" s="115"/>
      <c r="L47" s="54">
        <f t="shared" si="3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11"/>
        <v/>
      </c>
      <c r="C48" s="50">
        <f>IF(D11="","-",+C47+1)</f>
        <v>2056</v>
      </c>
      <c r="D48" s="55">
        <f>IF(F47+SUM(E$17:E47)=D$10,F47,D$10-SUM(E$17:E47))</f>
        <v>295508.13056563097</v>
      </c>
      <c r="E48" s="56">
        <f t="shared" si="6"/>
        <v>38242.741171374219</v>
      </c>
      <c r="F48" s="55">
        <f t="shared" si="7"/>
        <v>257265.38939425675</v>
      </c>
      <c r="G48" s="57">
        <f t="shared" si="8"/>
        <v>70691.294610782847</v>
      </c>
      <c r="H48" s="42">
        <f t="shared" si="9"/>
        <v>70691.294610782847</v>
      </c>
      <c r="I48" s="52">
        <f t="shared" si="10"/>
        <v>0</v>
      </c>
      <c r="J48" s="52"/>
      <c r="K48" s="115"/>
      <c r="L48" s="54">
        <f t="shared" si="3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22" ht="12.5">
      <c r="B49" s="7" t="str">
        <f t="shared" si="11"/>
        <v/>
      </c>
      <c r="C49" s="50">
        <f>IF(D11="","-",+C48+1)</f>
        <v>2057</v>
      </c>
      <c r="D49" s="55">
        <f>IF(F48+SUM(E$17:E48)=D$10,F48,D$10-SUM(E$17:E48))</f>
        <v>257265.38939425675</v>
      </c>
      <c r="E49" s="56">
        <f t="shared" si="6"/>
        <v>38242.741171374219</v>
      </c>
      <c r="F49" s="55">
        <f t="shared" si="7"/>
        <v>219022.64822288253</v>
      </c>
      <c r="G49" s="57">
        <f t="shared" si="8"/>
        <v>66201.493324140683</v>
      </c>
      <c r="H49" s="42">
        <f t="shared" si="9"/>
        <v>66201.493324140683</v>
      </c>
      <c r="I49" s="52">
        <f t="shared" si="10"/>
        <v>0</v>
      </c>
      <c r="J49" s="52"/>
      <c r="K49" s="115"/>
      <c r="L49" s="54">
        <f t="shared" ref="L49:L72" si="12">IF(K49&lt;&gt;0,+G49-K49,0)</f>
        <v>0</v>
      </c>
      <c r="M49" s="115"/>
      <c r="N49" s="54">
        <f t="shared" ref="N49:N72" si="13">IF(M49&lt;&gt;0,+H49-M49,0)</f>
        <v>0</v>
      </c>
      <c r="O49" s="54">
        <f t="shared" ref="O49:O72" si="14">+N49-L49</f>
        <v>0</v>
      </c>
      <c r="P49" s="1"/>
    </row>
    <row r="50" spans="2:22" ht="12.5">
      <c r="B50" s="7" t="str">
        <f t="shared" si="11"/>
        <v/>
      </c>
      <c r="C50" s="50">
        <f>IF(D11="","-",+C49+1)</f>
        <v>2058</v>
      </c>
      <c r="D50" s="55">
        <f>IF(F49+SUM(E$17:E49)=D$10,F49,D$10-SUM(E$17:E49))</f>
        <v>219022.64822288253</v>
      </c>
      <c r="E50" s="56">
        <f t="shared" si="6"/>
        <v>38242.741171374219</v>
      </c>
      <c r="F50" s="55">
        <f t="shared" si="7"/>
        <v>180779.90705150831</v>
      </c>
      <c r="G50" s="57">
        <f t="shared" si="8"/>
        <v>61711.692037498527</v>
      </c>
      <c r="H50" s="42">
        <f t="shared" si="9"/>
        <v>61711.692037498527</v>
      </c>
      <c r="I50" s="52">
        <f t="shared" si="10"/>
        <v>0</v>
      </c>
      <c r="J50" s="52"/>
      <c r="K50" s="115"/>
      <c r="L50" s="54">
        <f t="shared" si="12"/>
        <v>0</v>
      </c>
      <c r="M50" s="115"/>
      <c r="N50" s="54">
        <f t="shared" si="13"/>
        <v>0</v>
      </c>
      <c r="O50" s="54">
        <f t="shared" si="14"/>
        <v>0</v>
      </c>
      <c r="P50" s="1"/>
    </row>
    <row r="51" spans="2:22" ht="12.5">
      <c r="B51" s="7" t="str">
        <f t="shared" si="11"/>
        <v/>
      </c>
      <c r="C51" s="50">
        <f>IF(D11="","-",+C50+1)</f>
        <v>2059</v>
      </c>
      <c r="D51" s="55">
        <f>IF(F50+SUM(E$17:E50)=D$10,F50,D$10-SUM(E$17:E50))</f>
        <v>180779.90705150831</v>
      </c>
      <c r="E51" s="56">
        <f t="shared" si="6"/>
        <v>38242.741171374219</v>
      </c>
      <c r="F51" s="55">
        <f t="shared" si="7"/>
        <v>142537.1658801341</v>
      </c>
      <c r="G51" s="57">
        <f t="shared" si="8"/>
        <v>57221.890750856372</v>
      </c>
      <c r="H51" s="42">
        <f t="shared" si="9"/>
        <v>57221.890750856372</v>
      </c>
      <c r="I51" s="52">
        <f t="shared" si="10"/>
        <v>0</v>
      </c>
      <c r="J51" s="52"/>
      <c r="K51" s="115"/>
      <c r="L51" s="54">
        <f t="shared" si="12"/>
        <v>0</v>
      </c>
      <c r="M51" s="115"/>
      <c r="N51" s="54">
        <f t="shared" si="13"/>
        <v>0</v>
      </c>
      <c r="O51" s="54">
        <f t="shared" si="14"/>
        <v>0</v>
      </c>
      <c r="P51" s="1"/>
      <c r="V51" t="s">
        <v>455</v>
      </c>
    </row>
    <row r="52" spans="2:22" ht="12.5">
      <c r="B52" s="7" t="str">
        <f t="shared" si="11"/>
        <v/>
      </c>
      <c r="C52" s="50">
        <f>IF(D11="","-",+C51+1)</f>
        <v>2060</v>
      </c>
      <c r="D52" s="55">
        <f>IF(F51+SUM(E$17:E51)=D$10,F51,D$10-SUM(E$17:E51))</f>
        <v>142537.1658801341</v>
      </c>
      <c r="E52" s="56">
        <f t="shared" si="6"/>
        <v>38242.741171374219</v>
      </c>
      <c r="F52" s="55">
        <f t="shared" si="7"/>
        <v>104294.42470875988</v>
      </c>
      <c r="G52" s="57">
        <f t="shared" si="8"/>
        <v>52732.089464214216</v>
      </c>
      <c r="H52" s="42">
        <f t="shared" si="9"/>
        <v>52732.089464214216</v>
      </c>
      <c r="I52" s="52">
        <f t="shared" si="10"/>
        <v>0</v>
      </c>
      <c r="J52" s="52"/>
      <c r="K52" s="115"/>
      <c r="L52" s="54">
        <f t="shared" si="12"/>
        <v>0</v>
      </c>
      <c r="M52" s="115"/>
      <c r="N52" s="54">
        <f t="shared" si="13"/>
        <v>0</v>
      </c>
      <c r="O52" s="54">
        <f t="shared" si="14"/>
        <v>0</v>
      </c>
      <c r="P52" s="1"/>
    </row>
    <row r="53" spans="2:22" ht="12.5">
      <c r="B53" s="7" t="str">
        <f t="shared" si="11"/>
        <v/>
      </c>
      <c r="C53" s="50">
        <f>IF(D11="","-",+C52+1)</f>
        <v>2061</v>
      </c>
      <c r="D53" s="55">
        <f>IF(F52+SUM(E$17:E52)=D$10,F52,D$10-SUM(E$17:E52))</f>
        <v>104294.42470875988</v>
      </c>
      <c r="E53" s="56">
        <f t="shared" si="6"/>
        <v>38242.741171374219</v>
      </c>
      <c r="F53" s="55">
        <f t="shared" si="7"/>
        <v>66051.683537385659</v>
      </c>
      <c r="G53" s="57">
        <f t="shared" si="8"/>
        <v>48242.28817757206</v>
      </c>
      <c r="H53" s="42">
        <f t="shared" si="9"/>
        <v>48242.28817757206</v>
      </c>
      <c r="I53" s="52">
        <f t="shared" si="10"/>
        <v>0</v>
      </c>
      <c r="J53" s="52"/>
      <c r="K53" s="115"/>
      <c r="L53" s="54">
        <f t="shared" si="12"/>
        <v>0</v>
      </c>
      <c r="M53" s="115"/>
      <c r="N53" s="54">
        <f t="shared" si="13"/>
        <v>0</v>
      </c>
      <c r="O53" s="54">
        <f t="shared" si="14"/>
        <v>0</v>
      </c>
      <c r="P53" s="1"/>
    </row>
    <row r="54" spans="2:22" ht="12.5">
      <c r="B54" s="7" t="str">
        <f t="shared" si="11"/>
        <v/>
      </c>
      <c r="C54" s="50">
        <f>IF(D11="","-",+C53+1)</f>
        <v>2062</v>
      </c>
      <c r="D54" s="55">
        <f>IF(F53+SUM(E$17:E53)=D$10,F53,D$10-SUM(E$17:E53))</f>
        <v>66051.683537385659</v>
      </c>
      <c r="E54" s="56">
        <f t="shared" si="6"/>
        <v>38242.741171374219</v>
      </c>
      <c r="F54" s="55">
        <f t="shared" si="7"/>
        <v>27808.942366011441</v>
      </c>
      <c r="G54" s="57">
        <f t="shared" si="8"/>
        <v>43752.486890929904</v>
      </c>
      <c r="H54" s="42">
        <f t="shared" si="9"/>
        <v>43752.486890929904</v>
      </c>
      <c r="I54" s="52">
        <f t="shared" si="10"/>
        <v>0</v>
      </c>
      <c r="J54" s="52"/>
      <c r="K54" s="115"/>
      <c r="L54" s="54">
        <f t="shared" si="12"/>
        <v>0</v>
      </c>
      <c r="M54" s="115"/>
      <c r="N54" s="54">
        <f t="shared" si="13"/>
        <v>0</v>
      </c>
      <c r="O54" s="54">
        <f t="shared" si="14"/>
        <v>0</v>
      </c>
      <c r="P54" s="1"/>
    </row>
    <row r="55" spans="2:22" ht="12.5">
      <c r="B55" s="7" t="str">
        <f t="shared" si="11"/>
        <v/>
      </c>
      <c r="C55" s="50">
        <f>IF(D11="","-",+C54+1)</f>
        <v>2063</v>
      </c>
      <c r="D55" s="55">
        <f>IF(F54+SUM(E$17:E54)=D$10,F54,D$10-SUM(E$17:E54))</f>
        <v>27808.942366011441</v>
      </c>
      <c r="E55" s="56">
        <f t="shared" si="6"/>
        <v>27808.942366011441</v>
      </c>
      <c r="F55" s="55">
        <f t="shared" si="7"/>
        <v>0</v>
      </c>
      <c r="G55" s="57">
        <f t="shared" si="8"/>
        <v>29441.364904128746</v>
      </c>
      <c r="H55" s="42">
        <f t="shared" si="9"/>
        <v>29441.364904128746</v>
      </c>
      <c r="I55" s="52">
        <f t="shared" si="10"/>
        <v>0</v>
      </c>
      <c r="J55" s="52"/>
      <c r="K55" s="115"/>
      <c r="L55" s="54">
        <f t="shared" si="12"/>
        <v>0</v>
      </c>
      <c r="M55" s="115"/>
      <c r="N55" s="54">
        <f t="shared" si="13"/>
        <v>0</v>
      </c>
      <c r="O55" s="54">
        <f t="shared" si="14"/>
        <v>0</v>
      </c>
      <c r="P55" s="1"/>
    </row>
    <row r="56" spans="2:22" ht="12.5">
      <c r="B56" s="7" t="str">
        <f t="shared" si="11"/>
        <v/>
      </c>
      <c r="C56" s="50">
        <f>IF(D11="","-",+C55+1)</f>
        <v>2064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12"/>
        <v>0</v>
      </c>
      <c r="M56" s="115"/>
      <c r="N56" s="54">
        <f t="shared" si="13"/>
        <v>0</v>
      </c>
      <c r="O56" s="54">
        <f t="shared" si="14"/>
        <v>0</v>
      </c>
      <c r="P56" s="1"/>
    </row>
    <row r="57" spans="2:22" ht="12.5">
      <c r="B57" s="7" t="str">
        <f t="shared" si="11"/>
        <v/>
      </c>
      <c r="C57" s="50">
        <f>IF(D11="","-",+C56+1)</f>
        <v>2065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2"/>
        <v>0</v>
      </c>
      <c r="M57" s="115"/>
      <c r="N57" s="54">
        <f t="shared" si="13"/>
        <v>0</v>
      </c>
      <c r="O57" s="54">
        <f t="shared" si="14"/>
        <v>0</v>
      </c>
      <c r="P57" s="1"/>
    </row>
    <row r="58" spans="2:22" ht="12.5">
      <c r="B58" s="7" t="str">
        <f t="shared" si="11"/>
        <v/>
      </c>
      <c r="C58" s="50">
        <f>IF(D11="","-",+C57+1)</f>
        <v>2066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2"/>
        <v>0</v>
      </c>
      <c r="M58" s="115"/>
      <c r="N58" s="54">
        <f t="shared" si="13"/>
        <v>0</v>
      </c>
      <c r="O58" s="54">
        <f t="shared" si="14"/>
        <v>0</v>
      </c>
      <c r="P58" s="1"/>
    </row>
    <row r="59" spans="2:22" ht="12.5">
      <c r="B59" s="7" t="str">
        <f t="shared" si="11"/>
        <v/>
      </c>
      <c r="C59" s="50">
        <f>IF(D11="","-",+C58+1)</f>
        <v>2067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2"/>
        <v>0</v>
      </c>
      <c r="M59" s="115"/>
      <c r="N59" s="54">
        <f t="shared" si="13"/>
        <v>0</v>
      </c>
      <c r="O59" s="54">
        <f t="shared" si="14"/>
        <v>0</v>
      </c>
      <c r="P59" s="1"/>
    </row>
    <row r="60" spans="2:22" ht="12.5">
      <c r="B60" s="7" t="str">
        <f t="shared" si="11"/>
        <v/>
      </c>
      <c r="C60" s="50">
        <f>IF(D11="","-",+C59+1)</f>
        <v>2068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2"/>
        <v>0</v>
      </c>
      <c r="M60" s="115"/>
      <c r="N60" s="54">
        <f t="shared" si="13"/>
        <v>0</v>
      </c>
      <c r="O60" s="54">
        <f t="shared" si="14"/>
        <v>0</v>
      </c>
      <c r="P60" s="1"/>
    </row>
    <row r="61" spans="2:22" ht="12.5">
      <c r="B61" s="7" t="str">
        <f t="shared" si="11"/>
        <v/>
      </c>
      <c r="C61" s="50">
        <f>IF(D11="","-",+C60+1)</f>
        <v>2069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2"/>
        <v>0</v>
      </c>
      <c r="M61" s="115"/>
      <c r="N61" s="54">
        <f t="shared" si="13"/>
        <v>0</v>
      </c>
      <c r="O61" s="54">
        <f t="shared" si="14"/>
        <v>0</v>
      </c>
      <c r="P61" s="1"/>
    </row>
    <row r="62" spans="2:22" ht="12.5">
      <c r="B62" s="7" t="str">
        <f t="shared" si="11"/>
        <v/>
      </c>
      <c r="C62" s="50">
        <f>IF(D11="","-",+C61+1)</f>
        <v>2070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2"/>
        <v>0</v>
      </c>
      <c r="M62" s="115"/>
      <c r="N62" s="54">
        <f t="shared" si="13"/>
        <v>0</v>
      </c>
      <c r="O62" s="54">
        <f t="shared" si="14"/>
        <v>0</v>
      </c>
      <c r="P62" s="1"/>
    </row>
    <row r="63" spans="2:22" ht="12.5">
      <c r="B63" s="7" t="str">
        <f t="shared" si="11"/>
        <v/>
      </c>
      <c r="C63" s="50">
        <f>IF(D11="","-",+C62+1)</f>
        <v>2071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2"/>
        <v>0</v>
      </c>
      <c r="M63" s="115"/>
      <c r="N63" s="54">
        <f t="shared" si="13"/>
        <v>0</v>
      </c>
      <c r="O63" s="54">
        <f t="shared" si="14"/>
        <v>0</v>
      </c>
      <c r="P63" s="1"/>
    </row>
    <row r="64" spans="2:22" ht="12.5">
      <c r="B64" s="7" t="str">
        <f t="shared" si="11"/>
        <v/>
      </c>
      <c r="C64" s="50">
        <f>IF(D11="","-",+C63+1)</f>
        <v>2072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2"/>
        <v>0</v>
      </c>
      <c r="M64" s="115"/>
      <c r="N64" s="54">
        <f t="shared" si="13"/>
        <v>0</v>
      </c>
      <c r="O64" s="54">
        <f t="shared" si="14"/>
        <v>0</v>
      </c>
      <c r="P64" s="1"/>
    </row>
    <row r="65" spans="2:16" ht="12.5">
      <c r="B65" s="7" t="str">
        <f t="shared" si="11"/>
        <v/>
      </c>
      <c r="C65" s="50">
        <f>IF(D11="","-",+C64+1)</f>
        <v>2073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2"/>
        <v>0</v>
      </c>
      <c r="M65" s="115"/>
      <c r="N65" s="54">
        <f t="shared" si="13"/>
        <v>0</v>
      </c>
      <c r="O65" s="54">
        <f t="shared" si="14"/>
        <v>0</v>
      </c>
      <c r="P65" s="1"/>
    </row>
    <row r="66" spans="2:16" ht="12.5">
      <c r="B66" s="7" t="str">
        <f t="shared" si="11"/>
        <v/>
      </c>
      <c r="C66" s="50">
        <f>IF(D11="","-",+C65+1)</f>
        <v>2074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2"/>
        <v>0</v>
      </c>
      <c r="M66" s="115"/>
      <c r="N66" s="54">
        <f t="shared" si="13"/>
        <v>0</v>
      </c>
      <c r="O66" s="54">
        <f t="shared" si="14"/>
        <v>0</v>
      </c>
      <c r="P66" s="1"/>
    </row>
    <row r="67" spans="2:16" ht="12.5">
      <c r="B67" s="7" t="str">
        <f t="shared" si="11"/>
        <v/>
      </c>
      <c r="C67" s="50">
        <f>IF(D11="","-",+C66+1)</f>
        <v>2075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2"/>
        <v>0</v>
      </c>
      <c r="M67" s="115"/>
      <c r="N67" s="54">
        <f t="shared" si="13"/>
        <v>0</v>
      </c>
      <c r="O67" s="54">
        <f t="shared" si="14"/>
        <v>0</v>
      </c>
      <c r="P67" s="1"/>
    </row>
    <row r="68" spans="2:16" ht="12.5">
      <c r="B68" s="7" t="str">
        <f t="shared" si="11"/>
        <v/>
      </c>
      <c r="C68" s="50">
        <f>IF(D11="","-",+C67+1)</f>
        <v>2076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2"/>
        <v>0</v>
      </c>
      <c r="M68" s="115"/>
      <c r="N68" s="54">
        <f t="shared" si="13"/>
        <v>0</v>
      </c>
      <c r="O68" s="54">
        <f t="shared" si="14"/>
        <v>0</v>
      </c>
      <c r="P68" s="1"/>
    </row>
    <row r="69" spans="2:16" ht="12.5">
      <c r="B69" s="7" t="str">
        <f t="shared" si="11"/>
        <v/>
      </c>
      <c r="C69" s="50">
        <f>IF(D11="","-",+C68+1)</f>
        <v>2077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2"/>
        <v>0</v>
      </c>
      <c r="M69" s="115"/>
      <c r="N69" s="54">
        <f t="shared" si="13"/>
        <v>0</v>
      </c>
      <c r="O69" s="54">
        <f t="shared" si="14"/>
        <v>0</v>
      </c>
      <c r="P69" s="1"/>
    </row>
    <row r="70" spans="2:16" ht="12.5">
      <c r="B70" s="7" t="str">
        <f t="shared" si="11"/>
        <v/>
      </c>
      <c r="C70" s="50">
        <f>IF(D11="","-",+C69+1)</f>
        <v>2078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2"/>
        <v>0</v>
      </c>
      <c r="M70" s="115"/>
      <c r="N70" s="54">
        <f t="shared" si="13"/>
        <v>0</v>
      </c>
      <c r="O70" s="54">
        <f t="shared" si="14"/>
        <v>0</v>
      </c>
      <c r="P70" s="1"/>
    </row>
    <row r="71" spans="2:16" ht="12.5">
      <c r="B71" s="7" t="str">
        <f t="shared" si="11"/>
        <v/>
      </c>
      <c r="C71" s="50">
        <f>IF(D11="","-",+C70+1)</f>
        <v>2079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2"/>
        <v>0</v>
      </c>
      <c r="M71" s="115"/>
      <c r="N71" s="54">
        <f t="shared" si="13"/>
        <v>0</v>
      </c>
      <c r="O71" s="54">
        <f t="shared" si="14"/>
        <v>0</v>
      </c>
      <c r="P71" s="1"/>
    </row>
    <row r="72" spans="2:16" ht="13" thickBot="1">
      <c r="B72" s="7" t="str">
        <f t="shared" si="11"/>
        <v/>
      </c>
      <c r="C72" s="58">
        <f>IF(D11="","-",+C71+1)</f>
        <v>2080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2"/>
        <v>0</v>
      </c>
      <c r="M72" s="116"/>
      <c r="N72" s="62">
        <f t="shared" si="13"/>
        <v>0</v>
      </c>
      <c r="O72" s="62">
        <f t="shared" si="14"/>
        <v>0</v>
      </c>
      <c r="P72" s="1"/>
    </row>
    <row r="73" spans="2:16" ht="12.5">
      <c r="C73" s="12" t="s">
        <v>77</v>
      </c>
      <c r="D73" s="14"/>
      <c r="E73" s="14">
        <f>SUM(E17:E72)</f>
        <v>1453224.1645122203</v>
      </c>
      <c r="F73" s="14"/>
      <c r="G73" s="14">
        <f>SUM(G17:G72)</f>
        <v>4682114.5600712411</v>
      </c>
      <c r="H73" s="14">
        <f>SUM(H17:H72)</f>
        <v>4682114.5600712411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34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Sooner - Wekiwqa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TP2019146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v>38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2025</v>
      </c>
      <c r="D99" s="460">
        <v>0</v>
      </c>
      <c r="E99" s="462">
        <f>IF(OR(D11=I10,D92&lt;100000),0,J$96/12*(12-D94))</f>
        <v>0</v>
      </c>
      <c r="F99" s="461">
        <f>IF(D93=C99,+D92-E99,+D99-E99)</f>
        <v>0</v>
      </c>
      <c r="G99" s="463">
        <f>+(F99+D99)/2</f>
        <v>0</v>
      </c>
      <c r="H99" s="463">
        <f>+J$94*G99+E99</f>
        <v>0</v>
      </c>
      <c r="I99" s="463">
        <f>+J$95*G99+E99</f>
        <v>0</v>
      </c>
      <c r="J99" s="464">
        <f>+I99-H99</f>
        <v>0</v>
      </c>
      <c r="K99" s="54"/>
      <c r="L99" s="324">
        <f t="shared" ref="L99:L107" si="15">+H99</f>
        <v>0</v>
      </c>
      <c r="M99" s="54">
        <f t="shared" ref="M99:M107" si="16">IF(L99&lt;&gt;0,+H99-L99,0)</f>
        <v>0</v>
      </c>
      <c r="N99" s="324">
        <f t="shared" ref="N99:N107" si="17">+I99</f>
        <v>0</v>
      </c>
      <c r="O99" s="54">
        <f t="shared" ref="O99:O107" si="18">IF(N99&lt;&gt;0,+I99-N99,0)</f>
        <v>0</v>
      </c>
      <c r="P99" s="54">
        <f t="shared" ref="P99:P107" si="19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460">
        <f>IF(F99+SUM(E$99:E99)=D$92,F99,D$92-SUM(E$99:E99))</f>
        <v>0</v>
      </c>
      <c r="E100" s="56">
        <f>IF(+J$96&lt;F99,J$96,D100)</f>
        <v>0</v>
      </c>
      <c r="F100" s="461">
        <f>+D100-E100</f>
        <v>0</v>
      </c>
      <c r="G100" s="461">
        <f>+(F100+D100)/2</f>
        <v>0</v>
      </c>
      <c r="H100" s="113">
        <f t="shared" ref="H100" si="20">+J$94*G100+E100</f>
        <v>0</v>
      </c>
      <c r="I100" s="122">
        <f t="shared" ref="I100" si="21">+J$95*G100+E100</f>
        <v>0</v>
      </c>
      <c r="J100" s="464">
        <f t="shared" ref="J100" si="22">+I100-H100</f>
        <v>0</v>
      </c>
      <c r="K100" s="54"/>
      <c r="L100" s="324">
        <f t="shared" si="15"/>
        <v>0</v>
      </c>
      <c r="M100" s="54">
        <f t="shared" si="16"/>
        <v>0</v>
      </c>
      <c r="N100" s="324">
        <f t="shared" si="17"/>
        <v>0</v>
      </c>
      <c r="O100" s="54">
        <f t="shared" si="18"/>
        <v>0</v>
      </c>
      <c r="P100" s="54">
        <f t="shared" si="19"/>
        <v>0</v>
      </c>
    </row>
    <row r="101" spans="1:16" ht="12.5">
      <c r="B101" s="7" t="str">
        <f t="shared" ref="B101:B154" si="23">IF(D101=F100,"","IU")</f>
        <v/>
      </c>
      <c r="C101" s="50">
        <f>IF(D93="","-",+C100+1)</f>
        <v>2027</v>
      </c>
      <c r="D101" s="460">
        <f>IF(F100+SUM(E$99:E100)=D$92,F100,D$92-SUM(E$99:E100))</f>
        <v>0</v>
      </c>
      <c r="E101" s="56">
        <f t="shared" ref="E101:E109" si="24">IF(+J$96&lt;F100,J$96,D101)</f>
        <v>0</v>
      </c>
      <c r="F101" s="461">
        <f t="shared" ref="F101:F109" si="25">+D101-E101</f>
        <v>0</v>
      </c>
      <c r="G101" s="461">
        <f t="shared" ref="G101:G109" si="26">+(F101+D101)/2</f>
        <v>0</v>
      </c>
      <c r="H101" s="113">
        <f t="shared" ref="H101:H109" si="27">+J$94*G101+E101</f>
        <v>0</v>
      </c>
      <c r="I101" s="122">
        <f t="shared" ref="I101:I109" si="28">+J$95*G101+E101</f>
        <v>0</v>
      </c>
      <c r="J101" s="54">
        <f t="shared" ref="J101:J130" si="29">+I101-H101</f>
        <v>0</v>
      </c>
      <c r="K101" s="54"/>
      <c r="L101" s="324">
        <f t="shared" si="15"/>
        <v>0</v>
      </c>
      <c r="M101" s="54">
        <f t="shared" si="16"/>
        <v>0</v>
      </c>
      <c r="N101" s="324">
        <f t="shared" si="17"/>
        <v>0</v>
      </c>
      <c r="O101" s="54">
        <f t="shared" si="18"/>
        <v>0</v>
      </c>
      <c r="P101" s="54">
        <f t="shared" si="19"/>
        <v>0</v>
      </c>
    </row>
    <row r="102" spans="1:16" ht="12.5">
      <c r="B102" s="7" t="str">
        <f t="shared" si="23"/>
        <v/>
      </c>
      <c r="C102" s="50">
        <f>IF(D93="","-",+C101+1)</f>
        <v>2028</v>
      </c>
      <c r="D102" s="460">
        <f>IF(F101+SUM(E$99:E101)=D$92,F101,D$92-SUM(E$99:E101))</f>
        <v>0</v>
      </c>
      <c r="E102" s="56">
        <f t="shared" si="24"/>
        <v>0</v>
      </c>
      <c r="F102" s="461">
        <f t="shared" si="25"/>
        <v>0</v>
      </c>
      <c r="G102" s="461">
        <f t="shared" si="26"/>
        <v>0</v>
      </c>
      <c r="H102" s="113">
        <f t="shared" si="27"/>
        <v>0</v>
      </c>
      <c r="I102" s="122">
        <f t="shared" si="28"/>
        <v>0</v>
      </c>
      <c r="J102" s="54">
        <f t="shared" si="29"/>
        <v>0</v>
      </c>
      <c r="K102" s="54"/>
      <c r="L102" s="324">
        <f t="shared" si="15"/>
        <v>0</v>
      </c>
      <c r="M102" s="54">
        <f t="shared" si="16"/>
        <v>0</v>
      </c>
      <c r="N102" s="324">
        <f t="shared" si="17"/>
        <v>0</v>
      </c>
      <c r="O102" s="54">
        <f t="shared" si="18"/>
        <v>0</v>
      </c>
      <c r="P102" s="54">
        <f t="shared" si="19"/>
        <v>0</v>
      </c>
    </row>
    <row r="103" spans="1:16" ht="12.5">
      <c r="B103" s="7" t="str">
        <f t="shared" si="23"/>
        <v/>
      </c>
      <c r="C103" s="50">
        <f>IF(D93="","-",+C102+1)</f>
        <v>2029</v>
      </c>
      <c r="D103" s="460">
        <f>IF(F102+SUM(E$99:E102)=D$92,F102,D$92-SUM(E$99:E102))</f>
        <v>0</v>
      </c>
      <c r="E103" s="56">
        <f t="shared" si="24"/>
        <v>0</v>
      </c>
      <c r="F103" s="461">
        <f t="shared" si="25"/>
        <v>0</v>
      </c>
      <c r="G103" s="461">
        <f t="shared" si="26"/>
        <v>0</v>
      </c>
      <c r="H103" s="113">
        <f t="shared" si="27"/>
        <v>0</v>
      </c>
      <c r="I103" s="122">
        <f t="shared" si="28"/>
        <v>0</v>
      </c>
      <c r="J103" s="54">
        <f t="shared" si="29"/>
        <v>0</v>
      </c>
      <c r="K103" s="54"/>
      <c r="L103" s="324">
        <f t="shared" si="15"/>
        <v>0</v>
      </c>
      <c r="M103" s="54">
        <f t="shared" si="16"/>
        <v>0</v>
      </c>
      <c r="N103" s="324">
        <f t="shared" si="17"/>
        <v>0</v>
      </c>
      <c r="O103" s="54">
        <f t="shared" si="18"/>
        <v>0</v>
      </c>
      <c r="P103" s="54">
        <f t="shared" si="19"/>
        <v>0</v>
      </c>
    </row>
    <row r="104" spans="1:16" ht="12.5">
      <c r="B104" s="7" t="str">
        <f t="shared" si="23"/>
        <v/>
      </c>
      <c r="C104" s="50">
        <f>IF(D93="","-",+C103+1)</f>
        <v>2030</v>
      </c>
      <c r="D104" s="460">
        <f>IF(F103+SUM(E$99:E103)=D$92,F103,D$92-SUM(E$99:E103))</f>
        <v>0</v>
      </c>
      <c r="E104" s="56">
        <f t="shared" si="24"/>
        <v>0</v>
      </c>
      <c r="F104" s="461">
        <f t="shared" si="25"/>
        <v>0</v>
      </c>
      <c r="G104" s="461">
        <f t="shared" si="26"/>
        <v>0</v>
      </c>
      <c r="H104" s="113">
        <f t="shared" si="27"/>
        <v>0</v>
      </c>
      <c r="I104" s="122">
        <f t="shared" si="28"/>
        <v>0</v>
      </c>
      <c r="J104" s="54">
        <f t="shared" si="29"/>
        <v>0</v>
      </c>
      <c r="K104" s="54"/>
      <c r="L104" s="324">
        <f t="shared" si="15"/>
        <v>0</v>
      </c>
      <c r="M104" s="54">
        <f t="shared" si="16"/>
        <v>0</v>
      </c>
      <c r="N104" s="324">
        <f t="shared" si="17"/>
        <v>0</v>
      </c>
      <c r="O104" s="54">
        <f t="shared" si="18"/>
        <v>0</v>
      </c>
      <c r="P104" s="54">
        <f t="shared" si="19"/>
        <v>0</v>
      </c>
    </row>
    <row r="105" spans="1:16" ht="12.5">
      <c r="B105" s="7" t="str">
        <f t="shared" si="23"/>
        <v/>
      </c>
      <c r="C105" s="50">
        <f>IF(D93="","-",+C104+1)</f>
        <v>2031</v>
      </c>
      <c r="D105" s="460">
        <f>IF(F104+SUM(E$99:E104)=D$92,F104,D$92-SUM(E$99:E104))</f>
        <v>0</v>
      </c>
      <c r="E105" s="56">
        <f t="shared" si="24"/>
        <v>0</v>
      </c>
      <c r="F105" s="461">
        <f t="shared" si="25"/>
        <v>0</v>
      </c>
      <c r="G105" s="461">
        <f t="shared" si="26"/>
        <v>0</v>
      </c>
      <c r="H105" s="113">
        <f t="shared" si="27"/>
        <v>0</v>
      </c>
      <c r="I105" s="122">
        <f t="shared" si="28"/>
        <v>0</v>
      </c>
      <c r="J105" s="54">
        <f t="shared" si="29"/>
        <v>0</v>
      </c>
      <c r="K105" s="54"/>
      <c r="L105" s="324">
        <f t="shared" si="15"/>
        <v>0</v>
      </c>
      <c r="M105" s="54">
        <f t="shared" si="16"/>
        <v>0</v>
      </c>
      <c r="N105" s="324">
        <f t="shared" si="17"/>
        <v>0</v>
      </c>
      <c r="O105" s="54">
        <f t="shared" si="18"/>
        <v>0</v>
      </c>
      <c r="P105" s="54">
        <f t="shared" si="19"/>
        <v>0</v>
      </c>
    </row>
    <row r="106" spans="1:16" ht="12.5">
      <c r="B106" s="7" t="str">
        <f t="shared" si="23"/>
        <v/>
      </c>
      <c r="C106" s="50">
        <f>IF(D93="","-",+C105+1)</f>
        <v>2032</v>
      </c>
      <c r="D106" s="460">
        <f>IF(F105+SUM(E$99:E105)=D$92,F105,D$92-SUM(E$99:E105))</f>
        <v>0</v>
      </c>
      <c r="E106" s="56">
        <f t="shared" si="24"/>
        <v>0</v>
      </c>
      <c r="F106" s="461">
        <f t="shared" si="25"/>
        <v>0</v>
      </c>
      <c r="G106" s="461">
        <f t="shared" si="26"/>
        <v>0</v>
      </c>
      <c r="H106" s="113">
        <f t="shared" si="27"/>
        <v>0</v>
      </c>
      <c r="I106" s="122">
        <f t="shared" si="28"/>
        <v>0</v>
      </c>
      <c r="J106" s="54">
        <f t="shared" si="29"/>
        <v>0</v>
      </c>
      <c r="K106" s="54"/>
      <c r="L106" s="324">
        <f t="shared" si="15"/>
        <v>0</v>
      </c>
      <c r="M106" s="54">
        <f t="shared" si="16"/>
        <v>0</v>
      </c>
      <c r="N106" s="324">
        <f t="shared" si="17"/>
        <v>0</v>
      </c>
      <c r="O106" s="54">
        <f t="shared" si="18"/>
        <v>0</v>
      </c>
      <c r="P106" s="54">
        <f t="shared" si="19"/>
        <v>0</v>
      </c>
    </row>
    <row r="107" spans="1:16" ht="12.5">
      <c r="B107" s="7" t="str">
        <f t="shared" si="23"/>
        <v/>
      </c>
      <c r="C107" s="50">
        <f>IF(D93="","-",+C106+1)</f>
        <v>2033</v>
      </c>
      <c r="D107" s="460">
        <f>IF(F106+SUM(E$99:E106)=D$92,F106,D$92-SUM(E$99:E106))</f>
        <v>0</v>
      </c>
      <c r="E107" s="56">
        <f t="shared" si="24"/>
        <v>0</v>
      </c>
      <c r="F107" s="461">
        <f t="shared" si="25"/>
        <v>0</v>
      </c>
      <c r="G107" s="461">
        <f t="shared" si="26"/>
        <v>0</v>
      </c>
      <c r="H107" s="113">
        <f t="shared" si="27"/>
        <v>0</v>
      </c>
      <c r="I107" s="122">
        <f t="shared" si="28"/>
        <v>0</v>
      </c>
      <c r="J107" s="54">
        <f t="shared" si="29"/>
        <v>0</v>
      </c>
      <c r="K107" s="54"/>
      <c r="L107" s="324">
        <f t="shared" si="15"/>
        <v>0</v>
      </c>
      <c r="M107" s="54">
        <f t="shared" si="16"/>
        <v>0</v>
      </c>
      <c r="N107" s="324">
        <f t="shared" si="17"/>
        <v>0</v>
      </c>
      <c r="O107" s="54">
        <f t="shared" si="18"/>
        <v>0</v>
      </c>
      <c r="P107" s="54">
        <f t="shared" si="19"/>
        <v>0</v>
      </c>
    </row>
    <row r="108" spans="1:16" ht="12.5">
      <c r="B108" s="7" t="str">
        <f t="shared" si="23"/>
        <v/>
      </c>
      <c r="C108" s="50">
        <f>IF(D93="","-",+C107+1)</f>
        <v>2034</v>
      </c>
      <c r="D108" s="460">
        <f>IF(F107+SUM(E$99:E107)=D$92,F107,D$92-SUM(E$99:E107))</f>
        <v>0</v>
      </c>
      <c r="E108" s="56">
        <f t="shared" si="24"/>
        <v>0</v>
      </c>
      <c r="F108" s="461">
        <f t="shared" si="25"/>
        <v>0</v>
      </c>
      <c r="G108" s="461">
        <f t="shared" si="26"/>
        <v>0</v>
      </c>
      <c r="H108" s="113">
        <f t="shared" si="27"/>
        <v>0</v>
      </c>
      <c r="I108" s="122">
        <f t="shared" si="28"/>
        <v>0</v>
      </c>
      <c r="J108" s="54">
        <f t="shared" si="29"/>
        <v>0</v>
      </c>
      <c r="K108" s="54"/>
      <c r="L108" s="115"/>
      <c r="M108" s="54">
        <f t="shared" ref="M108:M130" si="30">IF(L108&lt;&gt;0,+H108-L108,0)</f>
        <v>0</v>
      </c>
      <c r="N108" s="115"/>
      <c r="O108" s="54">
        <f t="shared" ref="O108:O130" si="31">IF(N108&lt;&gt;0,+I108-N108,0)</f>
        <v>0</v>
      </c>
      <c r="P108" s="54">
        <f t="shared" ref="P108:P130" si="32">+O108-M108</f>
        <v>0</v>
      </c>
    </row>
    <row r="109" spans="1:16" ht="12.5">
      <c r="B109" s="7" t="str">
        <f t="shared" si="23"/>
        <v/>
      </c>
      <c r="C109" s="50">
        <f>IF(D93="","-",+C108+1)</f>
        <v>2035</v>
      </c>
      <c r="D109" s="460">
        <f>IF(F108+SUM(E$99:E108)=D$92,F108,D$92-SUM(E$99:E108))</f>
        <v>0</v>
      </c>
      <c r="E109" s="56">
        <f t="shared" si="24"/>
        <v>0</v>
      </c>
      <c r="F109" s="461">
        <f t="shared" si="25"/>
        <v>0</v>
      </c>
      <c r="G109" s="461">
        <f t="shared" si="26"/>
        <v>0</v>
      </c>
      <c r="H109" s="113">
        <f t="shared" si="27"/>
        <v>0</v>
      </c>
      <c r="I109" s="122">
        <f t="shared" si="28"/>
        <v>0</v>
      </c>
      <c r="J109" s="54">
        <f t="shared" si="29"/>
        <v>0</v>
      </c>
      <c r="K109" s="54"/>
      <c r="L109" s="115"/>
      <c r="M109" s="54">
        <f t="shared" si="30"/>
        <v>0</v>
      </c>
      <c r="N109" s="115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23"/>
        <v/>
      </c>
      <c r="C110" s="50">
        <f>IF(D93="","-",+C109+1)</f>
        <v>2036</v>
      </c>
      <c r="D110" s="12">
        <f>IF(F109+SUM(E$99:E109)=D$92,F109,D$92-SUM(E$99:E109))</f>
        <v>0</v>
      </c>
      <c r="E110" s="56">
        <f t="shared" ref="E110:E154" si="33">IF(+J$96&lt;F109,J$96,D110)</f>
        <v>0</v>
      </c>
      <c r="F110" s="55">
        <f t="shared" ref="F110:F154" si="34">+D110-E110</f>
        <v>0</v>
      </c>
      <c r="G110" s="55">
        <f t="shared" ref="G110:G154" si="35">+(F110+D110)/2</f>
        <v>0</v>
      </c>
      <c r="H110" s="113">
        <f t="shared" ref="H110:H154" si="36">+J$94*G110+E110</f>
        <v>0</v>
      </c>
      <c r="I110" s="122">
        <f t="shared" ref="I110:I154" si="37">+J$95*G110+E110</f>
        <v>0</v>
      </c>
      <c r="J110" s="54">
        <f t="shared" si="29"/>
        <v>0</v>
      </c>
      <c r="K110" s="54"/>
      <c r="L110" s="115"/>
      <c r="M110" s="54">
        <f t="shared" si="30"/>
        <v>0</v>
      </c>
      <c r="N110" s="115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23"/>
        <v/>
      </c>
      <c r="C111" s="50">
        <f>IF(D93="","-",+C110+1)</f>
        <v>2037</v>
      </c>
      <c r="D111" s="12">
        <f>IF(F110+SUM(E$99:E110)=D$92,F110,D$92-SUM(E$99:E110))</f>
        <v>0</v>
      </c>
      <c r="E111" s="56">
        <f t="shared" si="33"/>
        <v>0</v>
      </c>
      <c r="F111" s="55">
        <f t="shared" si="34"/>
        <v>0</v>
      </c>
      <c r="G111" s="55">
        <f t="shared" si="35"/>
        <v>0</v>
      </c>
      <c r="H111" s="113">
        <f t="shared" si="36"/>
        <v>0</v>
      </c>
      <c r="I111" s="122">
        <f t="shared" si="37"/>
        <v>0</v>
      </c>
      <c r="J111" s="54">
        <f t="shared" si="29"/>
        <v>0</v>
      </c>
      <c r="K111" s="54"/>
      <c r="L111" s="115"/>
      <c r="M111" s="54">
        <f t="shared" si="30"/>
        <v>0</v>
      </c>
      <c r="N111" s="115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23"/>
        <v/>
      </c>
      <c r="C112" s="50">
        <f>IF(D93="","-",+C111+1)</f>
        <v>2038</v>
      </c>
      <c r="D112" s="12">
        <f>IF(F111+SUM(E$99:E111)=D$92,F111,D$92-SUM(E$99:E111))</f>
        <v>0</v>
      </c>
      <c r="E112" s="56">
        <f t="shared" si="33"/>
        <v>0</v>
      </c>
      <c r="F112" s="55">
        <f t="shared" si="34"/>
        <v>0</v>
      </c>
      <c r="G112" s="55">
        <f t="shared" si="35"/>
        <v>0</v>
      </c>
      <c r="H112" s="113">
        <f t="shared" si="36"/>
        <v>0</v>
      </c>
      <c r="I112" s="122">
        <f t="shared" si="37"/>
        <v>0</v>
      </c>
      <c r="J112" s="54">
        <f t="shared" si="29"/>
        <v>0</v>
      </c>
      <c r="K112" s="54"/>
      <c r="L112" s="115"/>
      <c r="M112" s="54">
        <f t="shared" si="30"/>
        <v>0</v>
      </c>
      <c r="N112" s="115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23"/>
        <v/>
      </c>
      <c r="C113" s="50">
        <f>IF(D93="","-",+C112+1)</f>
        <v>2039</v>
      </c>
      <c r="D113" s="12">
        <f>IF(F112+SUM(E$99:E112)=D$92,F112,D$92-SUM(E$99:E112))</f>
        <v>0</v>
      </c>
      <c r="E113" s="56">
        <f t="shared" si="33"/>
        <v>0</v>
      </c>
      <c r="F113" s="55">
        <f t="shared" si="34"/>
        <v>0</v>
      </c>
      <c r="G113" s="55">
        <f t="shared" si="35"/>
        <v>0</v>
      </c>
      <c r="H113" s="113">
        <f t="shared" si="36"/>
        <v>0</v>
      </c>
      <c r="I113" s="122">
        <f t="shared" si="37"/>
        <v>0</v>
      </c>
      <c r="J113" s="54">
        <f t="shared" si="29"/>
        <v>0</v>
      </c>
      <c r="K113" s="54"/>
      <c r="L113" s="115"/>
      <c r="M113" s="54">
        <f t="shared" si="30"/>
        <v>0</v>
      </c>
      <c r="N113" s="115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23"/>
        <v/>
      </c>
      <c r="C114" s="50">
        <f>IF(D93="","-",+C113+1)</f>
        <v>2040</v>
      </c>
      <c r="D114" s="12">
        <f>IF(F113+SUM(E$99:E113)=D$92,F113,D$92-SUM(E$99:E113))</f>
        <v>0</v>
      </c>
      <c r="E114" s="56">
        <f t="shared" si="33"/>
        <v>0</v>
      </c>
      <c r="F114" s="55">
        <f t="shared" si="34"/>
        <v>0</v>
      </c>
      <c r="G114" s="55">
        <f t="shared" si="35"/>
        <v>0</v>
      </c>
      <c r="H114" s="113">
        <f t="shared" si="36"/>
        <v>0</v>
      </c>
      <c r="I114" s="122">
        <f t="shared" si="37"/>
        <v>0</v>
      </c>
      <c r="J114" s="54">
        <f t="shared" si="29"/>
        <v>0</v>
      </c>
      <c r="K114" s="54"/>
      <c r="L114" s="115"/>
      <c r="M114" s="54">
        <f t="shared" si="30"/>
        <v>0</v>
      </c>
      <c r="N114" s="115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23"/>
        <v/>
      </c>
      <c r="C115" s="50">
        <f>IF(D93="","-",+C114+1)</f>
        <v>2041</v>
      </c>
      <c r="D115" s="12">
        <f>IF(F114+SUM(E$99:E114)=D$92,F114,D$92-SUM(E$99:E114))</f>
        <v>0</v>
      </c>
      <c r="E115" s="56">
        <f t="shared" si="33"/>
        <v>0</v>
      </c>
      <c r="F115" s="55">
        <f t="shared" si="34"/>
        <v>0</v>
      </c>
      <c r="G115" s="55">
        <f t="shared" si="35"/>
        <v>0</v>
      </c>
      <c r="H115" s="113">
        <f t="shared" si="36"/>
        <v>0</v>
      </c>
      <c r="I115" s="122">
        <f t="shared" si="37"/>
        <v>0</v>
      </c>
      <c r="J115" s="54">
        <f t="shared" si="29"/>
        <v>0</v>
      </c>
      <c r="K115" s="54"/>
      <c r="L115" s="115"/>
      <c r="M115" s="54">
        <f t="shared" si="30"/>
        <v>0</v>
      </c>
      <c r="N115" s="115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23"/>
        <v/>
      </c>
      <c r="C116" s="50">
        <f>IF(D93="","-",+C115+1)</f>
        <v>2042</v>
      </c>
      <c r="D116" s="12">
        <f>IF(F115+SUM(E$99:E115)=D$92,F115,D$92-SUM(E$99:E115))</f>
        <v>0</v>
      </c>
      <c r="E116" s="56">
        <f t="shared" si="33"/>
        <v>0</v>
      </c>
      <c r="F116" s="55">
        <f t="shared" si="34"/>
        <v>0</v>
      </c>
      <c r="G116" s="55">
        <f t="shared" si="35"/>
        <v>0</v>
      </c>
      <c r="H116" s="113">
        <f t="shared" si="36"/>
        <v>0</v>
      </c>
      <c r="I116" s="122">
        <f t="shared" si="37"/>
        <v>0</v>
      </c>
      <c r="J116" s="54">
        <f t="shared" si="29"/>
        <v>0</v>
      </c>
      <c r="K116" s="54"/>
      <c r="L116" s="115"/>
      <c r="M116" s="54">
        <f t="shared" si="30"/>
        <v>0</v>
      </c>
      <c r="N116" s="115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23"/>
        <v/>
      </c>
      <c r="C117" s="50">
        <f>IF(D93="","-",+C116+1)</f>
        <v>2043</v>
      </c>
      <c r="D117" s="12">
        <f>IF(F116+SUM(E$99:E116)=D$92,F116,D$92-SUM(E$99:E116))</f>
        <v>0</v>
      </c>
      <c r="E117" s="56">
        <f t="shared" si="33"/>
        <v>0</v>
      </c>
      <c r="F117" s="55">
        <f t="shared" si="34"/>
        <v>0</v>
      </c>
      <c r="G117" s="55">
        <f t="shared" si="35"/>
        <v>0</v>
      </c>
      <c r="H117" s="113">
        <f t="shared" si="36"/>
        <v>0</v>
      </c>
      <c r="I117" s="122">
        <f t="shared" si="37"/>
        <v>0</v>
      </c>
      <c r="J117" s="54">
        <f t="shared" si="29"/>
        <v>0</v>
      </c>
      <c r="K117" s="54"/>
      <c r="L117" s="115"/>
      <c r="M117" s="54">
        <f t="shared" si="30"/>
        <v>0</v>
      </c>
      <c r="N117" s="115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23"/>
        <v/>
      </c>
      <c r="C118" s="50">
        <f>IF(D93="","-",+C117+1)</f>
        <v>2044</v>
      </c>
      <c r="D118" s="12">
        <f>IF(F117+SUM(E$99:E117)=D$92,F117,D$92-SUM(E$99:E117))</f>
        <v>0</v>
      </c>
      <c r="E118" s="56">
        <f t="shared" si="33"/>
        <v>0</v>
      </c>
      <c r="F118" s="55">
        <f t="shared" si="34"/>
        <v>0</v>
      </c>
      <c r="G118" s="55">
        <f t="shared" si="35"/>
        <v>0</v>
      </c>
      <c r="H118" s="113">
        <f t="shared" si="36"/>
        <v>0</v>
      </c>
      <c r="I118" s="122">
        <f t="shared" si="37"/>
        <v>0</v>
      </c>
      <c r="J118" s="54">
        <f t="shared" si="29"/>
        <v>0</v>
      </c>
      <c r="K118" s="54"/>
      <c r="L118" s="115"/>
      <c r="M118" s="54">
        <f t="shared" si="30"/>
        <v>0</v>
      </c>
      <c r="N118" s="115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23"/>
        <v/>
      </c>
      <c r="C119" s="50">
        <f>IF(D93="","-",+C118+1)</f>
        <v>2045</v>
      </c>
      <c r="D119" s="12">
        <f>IF(F118+SUM(E$99:E118)=D$92,F118,D$92-SUM(E$99:E118))</f>
        <v>0</v>
      </c>
      <c r="E119" s="56">
        <f t="shared" si="33"/>
        <v>0</v>
      </c>
      <c r="F119" s="55">
        <f t="shared" si="34"/>
        <v>0</v>
      </c>
      <c r="G119" s="55">
        <f t="shared" si="35"/>
        <v>0</v>
      </c>
      <c r="H119" s="113">
        <f t="shared" si="36"/>
        <v>0</v>
      </c>
      <c r="I119" s="122">
        <f t="shared" si="37"/>
        <v>0</v>
      </c>
      <c r="J119" s="54">
        <f t="shared" si="29"/>
        <v>0</v>
      </c>
      <c r="K119" s="54"/>
      <c r="L119" s="115"/>
      <c r="M119" s="54">
        <f t="shared" si="30"/>
        <v>0</v>
      </c>
      <c r="N119" s="115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23"/>
        <v/>
      </c>
      <c r="C120" s="50">
        <f>IF(D93="","-",+C119+1)</f>
        <v>2046</v>
      </c>
      <c r="D120" s="12">
        <f>IF(F119+SUM(E$99:E119)=D$92,F119,D$92-SUM(E$99:E119))</f>
        <v>0</v>
      </c>
      <c r="E120" s="56">
        <f t="shared" si="33"/>
        <v>0</v>
      </c>
      <c r="F120" s="55">
        <f t="shared" si="34"/>
        <v>0</v>
      </c>
      <c r="G120" s="55">
        <f t="shared" si="35"/>
        <v>0</v>
      </c>
      <c r="H120" s="113">
        <f t="shared" si="36"/>
        <v>0</v>
      </c>
      <c r="I120" s="122">
        <f t="shared" si="37"/>
        <v>0</v>
      </c>
      <c r="J120" s="54">
        <f t="shared" si="29"/>
        <v>0</v>
      </c>
      <c r="K120" s="54"/>
      <c r="L120" s="115"/>
      <c r="M120" s="54">
        <f t="shared" si="30"/>
        <v>0</v>
      </c>
      <c r="N120" s="115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23"/>
        <v/>
      </c>
      <c r="C121" s="50">
        <f>IF(D93="","-",+C120+1)</f>
        <v>2047</v>
      </c>
      <c r="D121" s="12">
        <f>IF(F120+SUM(E$99:E120)=D$92,F120,D$92-SUM(E$99:E120))</f>
        <v>0</v>
      </c>
      <c r="E121" s="56">
        <f t="shared" si="33"/>
        <v>0</v>
      </c>
      <c r="F121" s="55">
        <f t="shared" si="34"/>
        <v>0</v>
      </c>
      <c r="G121" s="55">
        <f t="shared" si="35"/>
        <v>0</v>
      </c>
      <c r="H121" s="113">
        <f t="shared" si="36"/>
        <v>0</v>
      </c>
      <c r="I121" s="122">
        <f t="shared" si="37"/>
        <v>0</v>
      </c>
      <c r="J121" s="54">
        <f t="shared" si="29"/>
        <v>0</v>
      </c>
      <c r="K121" s="54"/>
      <c r="L121" s="115"/>
      <c r="M121" s="54">
        <f t="shared" si="30"/>
        <v>0</v>
      </c>
      <c r="N121" s="115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23"/>
        <v/>
      </c>
      <c r="C122" s="50">
        <f>IF(D93="","-",+C121+1)</f>
        <v>2048</v>
      </c>
      <c r="D122" s="12">
        <f>IF(F121+SUM(E$99:E121)=D$92,F121,D$92-SUM(E$99:E121))</f>
        <v>0</v>
      </c>
      <c r="E122" s="56">
        <f t="shared" si="33"/>
        <v>0</v>
      </c>
      <c r="F122" s="55">
        <f t="shared" si="34"/>
        <v>0</v>
      </c>
      <c r="G122" s="55">
        <f t="shared" si="35"/>
        <v>0</v>
      </c>
      <c r="H122" s="113">
        <f t="shared" si="36"/>
        <v>0</v>
      </c>
      <c r="I122" s="122">
        <f t="shared" si="37"/>
        <v>0</v>
      </c>
      <c r="J122" s="54">
        <f t="shared" si="29"/>
        <v>0</v>
      </c>
      <c r="K122" s="54"/>
      <c r="L122" s="115"/>
      <c r="M122" s="54">
        <f t="shared" si="30"/>
        <v>0</v>
      </c>
      <c r="N122" s="115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23"/>
        <v/>
      </c>
      <c r="C123" s="50">
        <f>IF(D93="","-",+C122+1)</f>
        <v>2049</v>
      </c>
      <c r="D123" s="12">
        <f>IF(F122+SUM(E$99:E122)=D$92,F122,D$92-SUM(E$99:E122))</f>
        <v>0</v>
      </c>
      <c r="E123" s="56">
        <f t="shared" si="33"/>
        <v>0</v>
      </c>
      <c r="F123" s="55">
        <f t="shared" si="34"/>
        <v>0</v>
      </c>
      <c r="G123" s="55">
        <f t="shared" si="35"/>
        <v>0</v>
      </c>
      <c r="H123" s="113">
        <f t="shared" si="36"/>
        <v>0</v>
      </c>
      <c r="I123" s="122">
        <f t="shared" si="37"/>
        <v>0</v>
      </c>
      <c r="J123" s="54">
        <f t="shared" si="29"/>
        <v>0</v>
      </c>
      <c r="K123" s="54"/>
      <c r="L123" s="115"/>
      <c r="M123" s="54">
        <f t="shared" si="30"/>
        <v>0</v>
      </c>
      <c r="N123" s="115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23"/>
        <v/>
      </c>
      <c r="C124" s="50">
        <f>IF(D93="","-",+C123+1)</f>
        <v>2050</v>
      </c>
      <c r="D124" s="12">
        <f>IF(F123+SUM(E$99:E123)=D$92,F123,D$92-SUM(E$99:E123))</f>
        <v>0</v>
      </c>
      <c r="E124" s="56">
        <f t="shared" si="33"/>
        <v>0</v>
      </c>
      <c r="F124" s="55">
        <f t="shared" si="34"/>
        <v>0</v>
      </c>
      <c r="G124" s="55">
        <f t="shared" si="35"/>
        <v>0</v>
      </c>
      <c r="H124" s="113">
        <f t="shared" si="36"/>
        <v>0</v>
      </c>
      <c r="I124" s="122">
        <f t="shared" si="37"/>
        <v>0</v>
      </c>
      <c r="J124" s="54">
        <f t="shared" si="29"/>
        <v>0</v>
      </c>
      <c r="K124" s="54"/>
      <c r="L124" s="115"/>
      <c r="M124" s="54">
        <f t="shared" si="30"/>
        <v>0</v>
      </c>
      <c r="N124" s="115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23"/>
        <v/>
      </c>
      <c r="C125" s="50">
        <f>IF(D93="","-",+C124+1)</f>
        <v>2051</v>
      </c>
      <c r="D125" s="12">
        <f>IF(F124+SUM(E$99:E124)=D$92,F124,D$92-SUM(E$99:E124))</f>
        <v>0</v>
      </c>
      <c r="E125" s="56">
        <f t="shared" si="33"/>
        <v>0</v>
      </c>
      <c r="F125" s="55">
        <f t="shared" si="34"/>
        <v>0</v>
      </c>
      <c r="G125" s="55">
        <f t="shared" si="35"/>
        <v>0</v>
      </c>
      <c r="H125" s="113">
        <f t="shared" si="36"/>
        <v>0</v>
      </c>
      <c r="I125" s="122">
        <f t="shared" si="37"/>
        <v>0</v>
      </c>
      <c r="J125" s="54">
        <f t="shared" si="29"/>
        <v>0</v>
      </c>
      <c r="K125" s="54"/>
      <c r="L125" s="115"/>
      <c r="M125" s="54">
        <f t="shared" si="30"/>
        <v>0</v>
      </c>
      <c r="N125" s="115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23"/>
        <v/>
      </c>
      <c r="C126" s="50">
        <f>IF(D93="","-",+C125+1)</f>
        <v>2052</v>
      </c>
      <c r="D126" s="12">
        <f>IF(F125+SUM(E$99:E125)=D$92,F125,D$92-SUM(E$99:E125))</f>
        <v>0</v>
      </c>
      <c r="E126" s="56">
        <f t="shared" si="33"/>
        <v>0</v>
      </c>
      <c r="F126" s="55">
        <f t="shared" si="34"/>
        <v>0</v>
      </c>
      <c r="G126" s="55">
        <f t="shared" si="35"/>
        <v>0</v>
      </c>
      <c r="H126" s="113">
        <f t="shared" si="36"/>
        <v>0</v>
      </c>
      <c r="I126" s="122">
        <f t="shared" si="37"/>
        <v>0</v>
      </c>
      <c r="J126" s="54">
        <f t="shared" si="29"/>
        <v>0</v>
      </c>
      <c r="K126" s="54"/>
      <c r="L126" s="115"/>
      <c r="M126" s="54">
        <f t="shared" si="30"/>
        <v>0</v>
      </c>
      <c r="N126" s="115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23"/>
        <v/>
      </c>
      <c r="C127" s="50">
        <f>IF(D93="","-",+C126+1)</f>
        <v>2053</v>
      </c>
      <c r="D127" s="12">
        <f>IF(F126+SUM(E$99:E126)=D$92,F126,D$92-SUM(E$99:E126))</f>
        <v>0</v>
      </c>
      <c r="E127" s="56">
        <f t="shared" si="33"/>
        <v>0</v>
      </c>
      <c r="F127" s="55">
        <f t="shared" si="34"/>
        <v>0</v>
      </c>
      <c r="G127" s="55">
        <f t="shared" si="35"/>
        <v>0</v>
      </c>
      <c r="H127" s="113">
        <f t="shared" si="36"/>
        <v>0</v>
      </c>
      <c r="I127" s="122">
        <f t="shared" si="37"/>
        <v>0</v>
      </c>
      <c r="J127" s="54">
        <f t="shared" si="29"/>
        <v>0</v>
      </c>
      <c r="K127" s="54"/>
      <c r="L127" s="115"/>
      <c r="M127" s="54">
        <f t="shared" si="30"/>
        <v>0</v>
      </c>
      <c r="N127" s="115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23"/>
        <v/>
      </c>
      <c r="C128" s="50">
        <f>IF(D93="","-",+C127+1)</f>
        <v>2054</v>
      </c>
      <c r="D128" s="12">
        <f>IF(F127+SUM(E$99:E127)=D$92,F127,D$92-SUM(E$99:E127))</f>
        <v>0</v>
      </c>
      <c r="E128" s="56">
        <f t="shared" si="33"/>
        <v>0</v>
      </c>
      <c r="F128" s="55">
        <f t="shared" si="34"/>
        <v>0</v>
      </c>
      <c r="G128" s="55">
        <f t="shared" si="35"/>
        <v>0</v>
      </c>
      <c r="H128" s="113">
        <f t="shared" si="36"/>
        <v>0</v>
      </c>
      <c r="I128" s="122">
        <f t="shared" si="37"/>
        <v>0</v>
      </c>
      <c r="J128" s="54">
        <f t="shared" si="29"/>
        <v>0</v>
      </c>
      <c r="K128" s="54"/>
      <c r="L128" s="115"/>
      <c r="M128" s="54">
        <f t="shared" si="30"/>
        <v>0</v>
      </c>
      <c r="N128" s="115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23"/>
        <v/>
      </c>
      <c r="C129" s="50">
        <f>IF(D93="","-",+C128+1)</f>
        <v>2055</v>
      </c>
      <c r="D129" s="12">
        <f>IF(F128+SUM(E$99:E128)=D$92,F128,D$92-SUM(E$99:E128))</f>
        <v>0</v>
      </c>
      <c r="E129" s="56">
        <f t="shared" si="33"/>
        <v>0</v>
      </c>
      <c r="F129" s="55">
        <f t="shared" si="34"/>
        <v>0</v>
      </c>
      <c r="G129" s="55">
        <f t="shared" si="35"/>
        <v>0</v>
      </c>
      <c r="H129" s="113">
        <f t="shared" si="36"/>
        <v>0</v>
      </c>
      <c r="I129" s="122">
        <f t="shared" si="37"/>
        <v>0</v>
      </c>
      <c r="J129" s="54">
        <f t="shared" si="29"/>
        <v>0</v>
      </c>
      <c r="K129" s="54"/>
      <c r="L129" s="115"/>
      <c r="M129" s="54">
        <f t="shared" si="30"/>
        <v>0</v>
      </c>
      <c r="N129" s="115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23"/>
        <v/>
      </c>
      <c r="C130" s="50">
        <f>IF(D93="","-",+C129+1)</f>
        <v>2056</v>
      </c>
      <c r="D130" s="12">
        <f>IF(F129+SUM(E$99:E129)=D$92,F129,D$92-SUM(E$99:E129))</f>
        <v>0</v>
      </c>
      <c r="E130" s="56">
        <f t="shared" si="33"/>
        <v>0</v>
      </c>
      <c r="F130" s="55">
        <f t="shared" si="34"/>
        <v>0</v>
      </c>
      <c r="G130" s="55">
        <f t="shared" si="35"/>
        <v>0</v>
      </c>
      <c r="H130" s="113">
        <f t="shared" si="36"/>
        <v>0</v>
      </c>
      <c r="I130" s="122">
        <f t="shared" si="37"/>
        <v>0</v>
      </c>
      <c r="J130" s="54">
        <f t="shared" si="29"/>
        <v>0</v>
      </c>
      <c r="K130" s="54"/>
      <c r="L130" s="115"/>
      <c r="M130" s="54">
        <f t="shared" si="30"/>
        <v>0</v>
      </c>
      <c r="N130" s="115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23"/>
        <v/>
      </c>
      <c r="C131" s="50">
        <f>IF(D93="","-",+C130+1)</f>
        <v>2057</v>
      </c>
      <c r="D131" s="12">
        <f>IF(F130+SUM(E$99:E130)=D$92,F130,D$92-SUM(E$99:E130))</f>
        <v>0</v>
      </c>
      <c r="E131" s="56">
        <f t="shared" si="33"/>
        <v>0</v>
      </c>
      <c r="F131" s="55">
        <f t="shared" si="34"/>
        <v>0</v>
      </c>
      <c r="G131" s="55">
        <f t="shared" si="35"/>
        <v>0</v>
      </c>
      <c r="H131" s="113">
        <f t="shared" si="36"/>
        <v>0</v>
      </c>
      <c r="I131" s="122">
        <f t="shared" si="37"/>
        <v>0</v>
      </c>
      <c r="J131" s="54">
        <f t="shared" ref="J131:J154" si="38">+I540-H540</f>
        <v>0</v>
      </c>
      <c r="K131" s="54"/>
      <c r="L131" s="115"/>
      <c r="M131" s="54">
        <f t="shared" ref="M131:M154" si="39">IF(L540&lt;&gt;0,+H540-L540,0)</f>
        <v>0</v>
      </c>
      <c r="N131" s="115"/>
      <c r="O131" s="54">
        <f t="shared" ref="O131:O154" si="40">IF(N540&lt;&gt;0,+I540-N540,0)</f>
        <v>0</v>
      </c>
      <c r="P131" s="54">
        <f t="shared" ref="P131:P154" si="41">+O540-M540</f>
        <v>0</v>
      </c>
    </row>
    <row r="132" spans="2:16" ht="12.5">
      <c r="B132" s="7" t="str">
        <f t="shared" si="23"/>
        <v/>
      </c>
      <c r="C132" s="50">
        <f>IF(D93="","-",+C131+1)</f>
        <v>2058</v>
      </c>
      <c r="D132" s="12">
        <f>IF(F131+SUM(E$99:E131)=D$92,F131,D$92-SUM(E$99:E131))</f>
        <v>0</v>
      </c>
      <c r="E132" s="56">
        <f t="shared" si="33"/>
        <v>0</v>
      </c>
      <c r="F132" s="55">
        <f t="shared" si="34"/>
        <v>0</v>
      </c>
      <c r="G132" s="55">
        <f t="shared" si="35"/>
        <v>0</v>
      </c>
      <c r="H132" s="113">
        <f t="shared" si="36"/>
        <v>0</v>
      </c>
      <c r="I132" s="122">
        <f t="shared" si="37"/>
        <v>0</v>
      </c>
      <c r="J132" s="54">
        <f t="shared" si="38"/>
        <v>0</v>
      </c>
      <c r="K132" s="54"/>
      <c r="L132" s="115"/>
      <c r="M132" s="54">
        <f t="shared" si="39"/>
        <v>0</v>
      </c>
      <c r="N132" s="115"/>
      <c r="O132" s="54">
        <f t="shared" si="40"/>
        <v>0</v>
      </c>
      <c r="P132" s="54">
        <f t="shared" si="41"/>
        <v>0</v>
      </c>
    </row>
    <row r="133" spans="2:16" ht="12.5">
      <c r="B133" s="7" t="str">
        <f t="shared" si="23"/>
        <v/>
      </c>
      <c r="C133" s="50">
        <f>IF(D93="","-",+C132+1)</f>
        <v>2059</v>
      </c>
      <c r="D133" s="12">
        <f>IF(F132+SUM(E$99:E132)=D$92,F132,D$92-SUM(E$99:E132))</f>
        <v>0</v>
      </c>
      <c r="E133" s="56">
        <f t="shared" si="33"/>
        <v>0</v>
      </c>
      <c r="F133" s="55">
        <f t="shared" si="34"/>
        <v>0</v>
      </c>
      <c r="G133" s="55">
        <f t="shared" si="35"/>
        <v>0</v>
      </c>
      <c r="H133" s="113">
        <f t="shared" si="36"/>
        <v>0</v>
      </c>
      <c r="I133" s="122">
        <f t="shared" si="37"/>
        <v>0</v>
      </c>
      <c r="J133" s="54">
        <f t="shared" si="38"/>
        <v>0</v>
      </c>
      <c r="K133" s="54"/>
      <c r="L133" s="115"/>
      <c r="M133" s="54">
        <f t="shared" si="39"/>
        <v>0</v>
      </c>
      <c r="N133" s="115"/>
      <c r="O133" s="54">
        <f t="shared" si="40"/>
        <v>0</v>
      </c>
      <c r="P133" s="54">
        <f t="shared" si="41"/>
        <v>0</v>
      </c>
    </row>
    <row r="134" spans="2:16" ht="12.5">
      <c r="B134" s="7" t="str">
        <f t="shared" si="23"/>
        <v/>
      </c>
      <c r="C134" s="50">
        <f>IF(D93="","-",+C133+1)</f>
        <v>2060</v>
      </c>
      <c r="D134" s="12">
        <f>IF(F133+SUM(E$99:E133)=D$92,F133,D$92-SUM(E$99:E133))</f>
        <v>0</v>
      </c>
      <c r="E134" s="56">
        <f t="shared" si="33"/>
        <v>0</v>
      </c>
      <c r="F134" s="55">
        <f t="shared" si="34"/>
        <v>0</v>
      </c>
      <c r="G134" s="55">
        <f t="shared" si="35"/>
        <v>0</v>
      </c>
      <c r="H134" s="113">
        <f t="shared" si="36"/>
        <v>0</v>
      </c>
      <c r="I134" s="122">
        <f t="shared" si="37"/>
        <v>0</v>
      </c>
      <c r="J134" s="54">
        <f t="shared" si="38"/>
        <v>0</v>
      </c>
      <c r="K134" s="54"/>
      <c r="L134" s="115"/>
      <c r="M134" s="54">
        <f t="shared" si="39"/>
        <v>0</v>
      </c>
      <c r="N134" s="115"/>
      <c r="O134" s="54">
        <f t="shared" si="40"/>
        <v>0</v>
      </c>
      <c r="P134" s="54">
        <f t="shared" si="41"/>
        <v>0</v>
      </c>
    </row>
    <row r="135" spans="2:16" ht="12.5">
      <c r="B135" s="7" t="str">
        <f t="shared" si="23"/>
        <v/>
      </c>
      <c r="C135" s="50">
        <f>IF(D93="","-",+C134+1)</f>
        <v>2061</v>
      </c>
      <c r="D135" s="12">
        <f>IF(F134+SUM(E$99:E134)=D$92,F134,D$92-SUM(E$99:E134))</f>
        <v>0</v>
      </c>
      <c r="E135" s="56">
        <f t="shared" si="33"/>
        <v>0</v>
      </c>
      <c r="F135" s="55">
        <f t="shared" si="34"/>
        <v>0</v>
      </c>
      <c r="G135" s="55">
        <f t="shared" si="35"/>
        <v>0</v>
      </c>
      <c r="H135" s="113">
        <f t="shared" si="36"/>
        <v>0</v>
      </c>
      <c r="I135" s="122">
        <f t="shared" si="37"/>
        <v>0</v>
      </c>
      <c r="J135" s="54">
        <f t="shared" si="38"/>
        <v>0</v>
      </c>
      <c r="K135" s="54"/>
      <c r="L135" s="115"/>
      <c r="M135" s="54">
        <f t="shared" si="39"/>
        <v>0</v>
      </c>
      <c r="N135" s="115"/>
      <c r="O135" s="54">
        <f t="shared" si="40"/>
        <v>0</v>
      </c>
      <c r="P135" s="54">
        <f t="shared" si="41"/>
        <v>0</v>
      </c>
    </row>
    <row r="136" spans="2:16" ht="12.5">
      <c r="B136" s="7" t="str">
        <f t="shared" si="23"/>
        <v/>
      </c>
      <c r="C136" s="50">
        <f>IF(D93="","-",+C135+1)</f>
        <v>2062</v>
      </c>
      <c r="D136" s="12">
        <f>IF(F135+SUM(E$99:E135)=D$92,F135,D$92-SUM(E$99:E135))</f>
        <v>0</v>
      </c>
      <c r="E136" s="56">
        <f t="shared" si="33"/>
        <v>0</v>
      </c>
      <c r="F136" s="55">
        <f t="shared" si="34"/>
        <v>0</v>
      </c>
      <c r="G136" s="55">
        <f t="shared" si="35"/>
        <v>0</v>
      </c>
      <c r="H136" s="113">
        <f t="shared" si="36"/>
        <v>0</v>
      </c>
      <c r="I136" s="122">
        <f t="shared" si="37"/>
        <v>0</v>
      </c>
      <c r="J136" s="54">
        <f t="shared" si="38"/>
        <v>0</v>
      </c>
      <c r="K136" s="54"/>
      <c r="L136" s="115"/>
      <c r="M136" s="54">
        <f t="shared" si="39"/>
        <v>0</v>
      </c>
      <c r="N136" s="115"/>
      <c r="O136" s="54">
        <f t="shared" si="40"/>
        <v>0</v>
      </c>
      <c r="P136" s="54">
        <f t="shared" si="41"/>
        <v>0</v>
      </c>
    </row>
    <row r="137" spans="2:16" ht="12.5">
      <c r="B137" s="7" t="str">
        <f t="shared" si="23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33"/>
        <v>0</v>
      </c>
      <c r="F137" s="55">
        <f t="shared" si="34"/>
        <v>0</v>
      </c>
      <c r="G137" s="55">
        <f t="shared" si="35"/>
        <v>0</v>
      </c>
      <c r="H137" s="113">
        <f t="shared" si="36"/>
        <v>0</v>
      </c>
      <c r="I137" s="122">
        <f t="shared" si="37"/>
        <v>0</v>
      </c>
      <c r="J137" s="54">
        <f t="shared" si="38"/>
        <v>0</v>
      </c>
      <c r="K137" s="54"/>
      <c r="L137" s="115"/>
      <c r="M137" s="54">
        <f t="shared" si="39"/>
        <v>0</v>
      </c>
      <c r="N137" s="115"/>
      <c r="O137" s="54">
        <f t="shared" si="40"/>
        <v>0</v>
      </c>
      <c r="P137" s="54">
        <f t="shared" si="41"/>
        <v>0</v>
      </c>
    </row>
    <row r="138" spans="2:16" ht="12.5">
      <c r="B138" s="7" t="str">
        <f t="shared" si="23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33"/>
        <v>0</v>
      </c>
      <c r="F138" s="55">
        <f t="shared" si="34"/>
        <v>0</v>
      </c>
      <c r="G138" s="55">
        <f t="shared" si="35"/>
        <v>0</v>
      </c>
      <c r="H138" s="113">
        <f t="shared" si="36"/>
        <v>0</v>
      </c>
      <c r="I138" s="122">
        <f t="shared" si="37"/>
        <v>0</v>
      </c>
      <c r="J138" s="54">
        <f t="shared" si="38"/>
        <v>0</v>
      </c>
      <c r="K138" s="54"/>
      <c r="L138" s="115"/>
      <c r="M138" s="54">
        <f t="shared" si="39"/>
        <v>0</v>
      </c>
      <c r="N138" s="115"/>
      <c r="O138" s="54">
        <f t="shared" si="40"/>
        <v>0</v>
      </c>
      <c r="P138" s="54">
        <f t="shared" si="41"/>
        <v>0</v>
      </c>
    </row>
    <row r="139" spans="2:16" ht="12.5">
      <c r="B139" s="7" t="str">
        <f t="shared" si="23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33"/>
        <v>0</v>
      </c>
      <c r="F139" s="55">
        <f t="shared" si="34"/>
        <v>0</v>
      </c>
      <c r="G139" s="55">
        <f t="shared" si="35"/>
        <v>0</v>
      </c>
      <c r="H139" s="113">
        <f t="shared" si="36"/>
        <v>0</v>
      </c>
      <c r="I139" s="122">
        <f t="shared" si="37"/>
        <v>0</v>
      </c>
      <c r="J139" s="54">
        <f t="shared" si="38"/>
        <v>0</v>
      </c>
      <c r="K139" s="54"/>
      <c r="L139" s="115"/>
      <c r="M139" s="54">
        <f t="shared" si="39"/>
        <v>0</v>
      </c>
      <c r="N139" s="115"/>
      <c r="O139" s="54">
        <f t="shared" si="40"/>
        <v>0</v>
      </c>
      <c r="P139" s="54">
        <f t="shared" si="41"/>
        <v>0</v>
      </c>
    </row>
    <row r="140" spans="2:16" ht="12.5">
      <c r="B140" s="7" t="str">
        <f t="shared" si="23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33"/>
        <v>0</v>
      </c>
      <c r="F140" s="55">
        <f t="shared" si="34"/>
        <v>0</v>
      </c>
      <c r="G140" s="55">
        <f t="shared" si="35"/>
        <v>0</v>
      </c>
      <c r="H140" s="113">
        <f t="shared" si="36"/>
        <v>0</v>
      </c>
      <c r="I140" s="122">
        <f t="shared" si="37"/>
        <v>0</v>
      </c>
      <c r="J140" s="54">
        <f t="shared" si="38"/>
        <v>0</v>
      </c>
      <c r="K140" s="54"/>
      <c r="L140" s="115"/>
      <c r="M140" s="54">
        <f t="shared" si="39"/>
        <v>0</v>
      </c>
      <c r="N140" s="115"/>
      <c r="O140" s="54">
        <f t="shared" si="40"/>
        <v>0</v>
      </c>
      <c r="P140" s="54">
        <f t="shared" si="41"/>
        <v>0</v>
      </c>
    </row>
    <row r="141" spans="2:16" ht="12.5">
      <c r="B141" s="7" t="str">
        <f t="shared" si="23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33"/>
        <v>0</v>
      </c>
      <c r="F141" s="55">
        <f t="shared" si="34"/>
        <v>0</v>
      </c>
      <c r="G141" s="55">
        <f t="shared" si="35"/>
        <v>0</v>
      </c>
      <c r="H141" s="113">
        <f t="shared" si="36"/>
        <v>0</v>
      </c>
      <c r="I141" s="122">
        <f t="shared" si="37"/>
        <v>0</v>
      </c>
      <c r="J141" s="54">
        <f t="shared" si="38"/>
        <v>0</v>
      </c>
      <c r="K141" s="54"/>
      <c r="L141" s="115"/>
      <c r="M141" s="54">
        <f t="shared" si="39"/>
        <v>0</v>
      </c>
      <c r="N141" s="115"/>
      <c r="O141" s="54">
        <f t="shared" si="40"/>
        <v>0</v>
      </c>
      <c r="P141" s="54">
        <f t="shared" si="41"/>
        <v>0</v>
      </c>
    </row>
    <row r="142" spans="2:16" ht="12.5">
      <c r="B142" s="7" t="str">
        <f t="shared" si="23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33"/>
        <v>0</v>
      </c>
      <c r="F142" s="55">
        <f t="shared" si="34"/>
        <v>0</v>
      </c>
      <c r="G142" s="55">
        <f t="shared" si="35"/>
        <v>0</v>
      </c>
      <c r="H142" s="113">
        <f t="shared" si="36"/>
        <v>0</v>
      </c>
      <c r="I142" s="122">
        <f t="shared" si="37"/>
        <v>0</v>
      </c>
      <c r="J142" s="54">
        <f t="shared" si="38"/>
        <v>0</v>
      </c>
      <c r="K142" s="54"/>
      <c r="L142" s="115"/>
      <c r="M142" s="54">
        <f t="shared" si="39"/>
        <v>0</v>
      </c>
      <c r="N142" s="115"/>
      <c r="O142" s="54">
        <f t="shared" si="40"/>
        <v>0</v>
      </c>
      <c r="P142" s="54">
        <f t="shared" si="41"/>
        <v>0</v>
      </c>
    </row>
    <row r="143" spans="2:16" ht="12.5">
      <c r="B143" s="7" t="str">
        <f t="shared" si="23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33"/>
        <v>0</v>
      </c>
      <c r="F143" s="55">
        <f t="shared" si="34"/>
        <v>0</v>
      </c>
      <c r="G143" s="55">
        <f t="shared" si="35"/>
        <v>0</v>
      </c>
      <c r="H143" s="113">
        <f t="shared" si="36"/>
        <v>0</v>
      </c>
      <c r="I143" s="122">
        <f t="shared" si="37"/>
        <v>0</v>
      </c>
      <c r="J143" s="54">
        <f t="shared" si="38"/>
        <v>0</v>
      </c>
      <c r="K143" s="54"/>
      <c r="L143" s="115"/>
      <c r="M143" s="54">
        <f t="shared" si="39"/>
        <v>0</v>
      </c>
      <c r="N143" s="115"/>
      <c r="O143" s="54">
        <f t="shared" si="40"/>
        <v>0</v>
      </c>
      <c r="P143" s="54">
        <f t="shared" si="41"/>
        <v>0</v>
      </c>
    </row>
    <row r="144" spans="2:16" ht="12.5">
      <c r="B144" s="7" t="str">
        <f t="shared" si="23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33"/>
        <v>0</v>
      </c>
      <c r="F144" s="55">
        <f t="shared" si="34"/>
        <v>0</v>
      </c>
      <c r="G144" s="55">
        <f t="shared" si="35"/>
        <v>0</v>
      </c>
      <c r="H144" s="113">
        <f t="shared" si="36"/>
        <v>0</v>
      </c>
      <c r="I144" s="122">
        <f t="shared" si="37"/>
        <v>0</v>
      </c>
      <c r="J144" s="54">
        <f t="shared" si="38"/>
        <v>0</v>
      </c>
      <c r="K144" s="54"/>
      <c r="L144" s="115"/>
      <c r="M144" s="54">
        <f t="shared" si="39"/>
        <v>0</v>
      </c>
      <c r="N144" s="115"/>
      <c r="O144" s="54">
        <f t="shared" si="40"/>
        <v>0</v>
      </c>
      <c r="P144" s="54">
        <f t="shared" si="41"/>
        <v>0</v>
      </c>
    </row>
    <row r="145" spans="2:16" ht="12.5">
      <c r="B145" s="7" t="str">
        <f t="shared" si="23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33"/>
        <v>0</v>
      </c>
      <c r="F145" s="55">
        <f t="shared" si="34"/>
        <v>0</v>
      </c>
      <c r="G145" s="55">
        <f t="shared" si="35"/>
        <v>0</v>
      </c>
      <c r="H145" s="113">
        <f t="shared" si="36"/>
        <v>0</v>
      </c>
      <c r="I145" s="122">
        <f t="shared" si="37"/>
        <v>0</v>
      </c>
      <c r="J145" s="54">
        <f t="shared" si="38"/>
        <v>0</v>
      </c>
      <c r="K145" s="54"/>
      <c r="L145" s="115"/>
      <c r="M145" s="54">
        <f t="shared" si="39"/>
        <v>0</v>
      </c>
      <c r="N145" s="115"/>
      <c r="O145" s="54">
        <f t="shared" si="40"/>
        <v>0</v>
      </c>
      <c r="P145" s="54">
        <f t="shared" si="41"/>
        <v>0</v>
      </c>
    </row>
    <row r="146" spans="2:16" ht="12.5">
      <c r="B146" s="7" t="str">
        <f t="shared" si="23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33"/>
        <v>0</v>
      </c>
      <c r="F146" s="55">
        <f t="shared" si="34"/>
        <v>0</v>
      </c>
      <c r="G146" s="55">
        <f t="shared" si="35"/>
        <v>0</v>
      </c>
      <c r="H146" s="113">
        <f t="shared" si="36"/>
        <v>0</v>
      </c>
      <c r="I146" s="122">
        <f t="shared" si="37"/>
        <v>0</v>
      </c>
      <c r="J146" s="54">
        <f t="shared" si="38"/>
        <v>0</v>
      </c>
      <c r="K146" s="54"/>
      <c r="L146" s="115"/>
      <c r="M146" s="54">
        <f t="shared" si="39"/>
        <v>0</v>
      </c>
      <c r="N146" s="115"/>
      <c r="O146" s="54">
        <f t="shared" si="40"/>
        <v>0</v>
      </c>
      <c r="P146" s="54">
        <f t="shared" si="41"/>
        <v>0</v>
      </c>
    </row>
    <row r="147" spans="2:16" ht="12.5">
      <c r="B147" s="7" t="str">
        <f t="shared" si="23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33"/>
        <v>0</v>
      </c>
      <c r="F147" s="55">
        <f t="shared" si="34"/>
        <v>0</v>
      </c>
      <c r="G147" s="55">
        <f t="shared" si="35"/>
        <v>0</v>
      </c>
      <c r="H147" s="113">
        <f t="shared" si="36"/>
        <v>0</v>
      </c>
      <c r="I147" s="122">
        <f t="shared" si="37"/>
        <v>0</v>
      </c>
      <c r="J147" s="54">
        <f t="shared" si="38"/>
        <v>0</v>
      </c>
      <c r="K147" s="54"/>
      <c r="L147" s="115"/>
      <c r="M147" s="54">
        <f t="shared" si="39"/>
        <v>0</v>
      </c>
      <c r="N147" s="115"/>
      <c r="O147" s="54">
        <f t="shared" si="40"/>
        <v>0</v>
      </c>
      <c r="P147" s="54">
        <f t="shared" si="41"/>
        <v>0</v>
      </c>
    </row>
    <row r="148" spans="2:16" ht="12.5">
      <c r="B148" s="7" t="str">
        <f t="shared" si="23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33"/>
        <v>0</v>
      </c>
      <c r="F148" s="55">
        <f t="shared" si="34"/>
        <v>0</v>
      </c>
      <c r="G148" s="55">
        <f t="shared" si="35"/>
        <v>0</v>
      </c>
      <c r="H148" s="113">
        <f t="shared" si="36"/>
        <v>0</v>
      </c>
      <c r="I148" s="122">
        <f t="shared" si="37"/>
        <v>0</v>
      </c>
      <c r="J148" s="54">
        <f t="shared" si="38"/>
        <v>0</v>
      </c>
      <c r="K148" s="54"/>
      <c r="L148" s="115"/>
      <c r="M148" s="54">
        <f t="shared" si="39"/>
        <v>0</v>
      </c>
      <c r="N148" s="115"/>
      <c r="O148" s="54">
        <f t="shared" si="40"/>
        <v>0</v>
      </c>
      <c r="P148" s="54">
        <f t="shared" si="41"/>
        <v>0</v>
      </c>
    </row>
    <row r="149" spans="2:16" ht="12.5">
      <c r="B149" s="7" t="str">
        <f t="shared" si="23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33"/>
        <v>0</v>
      </c>
      <c r="F149" s="55">
        <f t="shared" si="34"/>
        <v>0</v>
      </c>
      <c r="G149" s="55">
        <f t="shared" si="35"/>
        <v>0</v>
      </c>
      <c r="H149" s="113">
        <f t="shared" si="36"/>
        <v>0</v>
      </c>
      <c r="I149" s="122">
        <f t="shared" si="37"/>
        <v>0</v>
      </c>
      <c r="J149" s="54">
        <f t="shared" si="38"/>
        <v>0</v>
      </c>
      <c r="K149" s="54"/>
      <c r="L149" s="115"/>
      <c r="M149" s="54">
        <f t="shared" si="39"/>
        <v>0</v>
      </c>
      <c r="N149" s="115"/>
      <c r="O149" s="54">
        <f t="shared" si="40"/>
        <v>0</v>
      </c>
      <c r="P149" s="54">
        <f t="shared" si="41"/>
        <v>0</v>
      </c>
    </row>
    <row r="150" spans="2:16" ht="12.5">
      <c r="B150" s="7" t="str">
        <f t="shared" si="23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33"/>
        <v>0</v>
      </c>
      <c r="F150" s="55">
        <f t="shared" si="34"/>
        <v>0</v>
      </c>
      <c r="G150" s="55">
        <f t="shared" si="35"/>
        <v>0</v>
      </c>
      <c r="H150" s="113">
        <f t="shared" si="36"/>
        <v>0</v>
      </c>
      <c r="I150" s="122">
        <f t="shared" si="37"/>
        <v>0</v>
      </c>
      <c r="J150" s="54">
        <f t="shared" si="38"/>
        <v>0</v>
      </c>
      <c r="K150" s="54"/>
      <c r="L150" s="115"/>
      <c r="M150" s="54">
        <f t="shared" si="39"/>
        <v>0</v>
      </c>
      <c r="N150" s="115"/>
      <c r="O150" s="54">
        <f t="shared" si="40"/>
        <v>0</v>
      </c>
      <c r="P150" s="54">
        <f t="shared" si="41"/>
        <v>0</v>
      </c>
    </row>
    <row r="151" spans="2:16" ht="12.5">
      <c r="B151" s="7" t="str">
        <f t="shared" si="23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33"/>
        <v>0</v>
      </c>
      <c r="F151" s="55">
        <f t="shared" si="34"/>
        <v>0</v>
      </c>
      <c r="G151" s="55">
        <f t="shared" si="35"/>
        <v>0</v>
      </c>
      <c r="H151" s="113">
        <f t="shared" si="36"/>
        <v>0</v>
      </c>
      <c r="I151" s="122">
        <f t="shared" si="37"/>
        <v>0</v>
      </c>
      <c r="J151" s="54">
        <f t="shared" si="38"/>
        <v>0</v>
      </c>
      <c r="K151" s="54"/>
      <c r="L151" s="115"/>
      <c r="M151" s="54">
        <f t="shared" si="39"/>
        <v>0</v>
      </c>
      <c r="N151" s="115"/>
      <c r="O151" s="54">
        <f t="shared" si="40"/>
        <v>0</v>
      </c>
      <c r="P151" s="54">
        <f t="shared" si="41"/>
        <v>0</v>
      </c>
    </row>
    <row r="152" spans="2:16" ht="12.5">
      <c r="B152" s="7" t="str">
        <f t="shared" si="23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33"/>
        <v>0</v>
      </c>
      <c r="F152" s="55">
        <f t="shared" si="34"/>
        <v>0</v>
      </c>
      <c r="G152" s="55">
        <f t="shared" si="35"/>
        <v>0</v>
      </c>
      <c r="H152" s="113">
        <f t="shared" si="36"/>
        <v>0</v>
      </c>
      <c r="I152" s="122">
        <f t="shared" si="37"/>
        <v>0</v>
      </c>
      <c r="J152" s="54">
        <f t="shared" si="38"/>
        <v>0</v>
      </c>
      <c r="K152" s="54"/>
      <c r="L152" s="115"/>
      <c r="M152" s="54">
        <f t="shared" si="39"/>
        <v>0</v>
      </c>
      <c r="N152" s="115"/>
      <c r="O152" s="54">
        <f t="shared" si="40"/>
        <v>0</v>
      </c>
      <c r="P152" s="54">
        <f t="shared" si="41"/>
        <v>0</v>
      </c>
    </row>
    <row r="153" spans="2:16" ht="12.5">
      <c r="B153" s="7" t="str">
        <f t="shared" si="23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33"/>
        <v>0</v>
      </c>
      <c r="F153" s="55">
        <f t="shared" si="34"/>
        <v>0</v>
      </c>
      <c r="G153" s="55">
        <f t="shared" si="35"/>
        <v>0</v>
      </c>
      <c r="H153" s="113">
        <f t="shared" si="36"/>
        <v>0</v>
      </c>
      <c r="I153" s="122">
        <f t="shared" si="37"/>
        <v>0</v>
      </c>
      <c r="J153" s="54">
        <f t="shared" si="38"/>
        <v>0</v>
      </c>
      <c r="K153" s="54"/>
      <c r="L153" s="115"/>
      <c r="M153" s="54">
        <f t="shared" si="39"/>
        <v>0</v>
      </c>
      <c r="N153" s="115"/>
      <c r="O153" s="54">
        <f t="shared" si="40"/>
        <v>0</v>
      </c>
      <c r="P153" s="54">
        <f t="shared" si="41"/>
        <v>0</v>
      </c>
    </row>
    <row r="154" spans="2:16" ht="13" thickBot="1">
      <c r="B154" s="7" t="str">
        <f t="shared" si="23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33"/>
        <v>0</v>
      </c>
      <c r="F154" s="59">
        <f t="shared" si="34"/>
        <v>0</v>
      </c>
      <c r="G154" s="59">
        <f t="shared" si="35"/>
        <v>0</v>
      </c>
      <c r="H154" s="123">
        <f t="shared" si="36"/>
        <v>0</v>
      </c>
      <c r="I154" s="124">
        <f t="shared" si="37"/>
        <v>0</v>
      </c>
      <c r="J154" s="62">
        <f t="shared" si="38"/>
        <v>0</v>
      </c>
      <c r="K154" s="54"/>
      <c r="L154" s="116"/>
      <c r="M154" s="62">
        <f t="shared" si="39"/>
        <v>0</v>
      </c>
      <c r="N154" s="116"/>
      <c r="O154" s="62">
        <f t="shared" si="40"/>
        <v>0</v>
      </c>
      <c r="P154" s="62">
        <f t="shared" si="41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22AC-4612-4327-8837-002B887A945B}">
  <dimension ref="A1:V162"/>
  <sheetViews>
    <sheetView topLeftCell="A53"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35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326279.45214894804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326279.45214894804</v>
      </c>
      <c r="O6" s="1"/>
      <c r="P6" s="1"/>
    </row>
    <row r="7" spans="1:16" ht="13.5" thickBot="1">
      <c r="C7" s="26" t="s">
        <v>46</v>
      </c>
      <c r="D7" s="88" t="s">
        <v>422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428</v>
      </c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2352625.8600000003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8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61911.206842105275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115">
        <v>0</v>
      </c>
      <c r="E17" s="115">
        <v>23287.721506387501</v>
      </c>
      <c r="F17" s="115">
        <v>1746579.1129790626</v>
      </c>
      <c r="G17" s="115">
        <v>122499.0864305765</v>
      </c>
      <c r="H17" s="115">
        <v>122499.0864305765</v>
      </c>
      <c r="I17" s="52">
        <f>H17-G17</f>
        <v>0</v>
      </c>
      <c r="J17" s="52"/>
      <c r="K17" s="117">
        <f>+G17</f>
        <v>122499.0864305765</v>
      </c>
      <c r="L17" s="53">
        <f t="shared" ref="L17" si="0">IF(K17&lt;&gt;0,+G17-K17,0)</f>
        <v>0</v>
      </c>
      <c r="M17" s="117">
        <f>+H17</f>
        <v>122499.0864305765</v>
      </c>
      <c r="N17" s="53">
        <f t="shared" ref="N17" si="1">IF(M17&lt;&gt;0,+H17-M17,0)</f>
        <v>0</v>
      </c>
      <c r="O17" s="54">
        <f t="shared" ref="O17" si="2">+N17-L17</f>
        <v>0</v>
      </c>
      <c r="P17" s="1"/>
    </row>
    <row r="18" spans="2:16" ht="13">
      <c r="B18" s="7" t="str">
        <f>IF(D18=F17,"","IU")</f>
        <v/>
      </c>
      <c r="C18" s="449">
        <f>IF(D11="","-",+C17+1)</f>
        <v>2025</v>
      </c>
      <c r="D18" s="115">
        <v>1746579.1129790626</v>
      </c>
      <c r="E18" s="115">
        <v>46575.443012775002</v>
      </c>
      <c r="F18" s="115">
        <v>1700003.6699662877</v>
      </c>
      <c r="G18" s="115">
        <v>242352.53646317462</v>
      </c>
      <c r="H18" s="115">
        <v>242352.53646317462</v>
      </c>
      <c r="I18" s="52">
        <f>H18-G18</f>
        <v>0</v>
      </c>
      <c r="J18" s="52"/>
      <c r="K18" s="324">
        <f>+G18</f>
        <v>242352.53646317462</v>
      </c>
      <c r="L18" s="54">
        <f t="shared" ref="L18" si="3">IF(K18&lt;&gt;0,+G18-K18,0)</f>
        <v>0</v>
      </c>
      <c r="M18" s="324">
        <f>+H18</f>
        <v>242352.53646317462</v>
      </c>
      <c r="N18" s="54">
        <f t="shared" ref="N18" si="4">IF(M18&lt;&gt;0,+H18-M18,0)</f>
        <v>0</v>
      </c>
      <c r="O18" s="54">
        <f t="shared" ref="O18" si="5"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2282762.695480838</v>
      </c>
      <c r="E19" s="56">
        <f t="shared" ref="E19:E71" si="6">IF(+I$14&lt;F18,I$14,D19)</f>
        <v>61911.206842105275</v>
      </c>
      <c r="F19" s="55">
        <f t="shared" ref="F19:F71" si="7">+D19-E19</f>
        <v>2220851.4886387326</v>
      </c>
      <c r="G19" s="57">
        <f t="shared" ref="G19:G71" si="8">(D19+F19)/2*I$12+E19</f>
        <v>326279.45214894804</v>
      </c>
      <c r="H19" s="42">
        <f t="shared" ref="H19:H71" si="9">+(D19+F19)/2*I$13+E19</f>
        <v>326279.45214894804</v>
      </c>
      <c r="I19" s="52">
        <f t="shared" ref="I19:I71" si="10">H19-G19</f>
        <v>0</v>
      </c>
      <c r="J19" s="52"/>
      <c r="K19" s="115"/>
      <c r="L19" s="54">
        <f t="shared" ref="L19:L72" si="11">IF(K19&lt;&gt;0,+G19-K19,0)</f>
        <v>0</v>
      </c>
      <c r="M19" s="115"/>
      <c r="N19" s="54">
        <f t="shared" ref="N19:N72" si="12">IF(M19&lt;&gt;0,+H19-M19,0)</f>
        <v>0</v>
      </c>
      <c r="O19" s="54">
        <f t="shared" ref="O19:O72" si="13">+N19-L19</f>
        <v>0</v>
      </c>
      <c r="P19" s="1"/>
    </row>
    <row r="20" spans="2:16" ht="12.5">
      <c r="B20" s="7" t="str">
        <f t="shared" ref="B20:B72" si="14">IF(D20=F19,"","IU")</f>
        <v/>
      </c>
      <c r="C20" s="50">
        <f>IF(D11="","-",+C19+1)</f>
        <v>2027</v>
      </c>
      <c r="D20" s="55">
        <f>IF(F19+SUM(E$17:E19)=D$10,F19,D$10-SUM(E$17:E19))</f>
        <v>2220851.4886387326</v>
      </c>
      <c r="E20" s="56">
        <f t="shared" si="6"/>
        <v>61911.206842105275</v>
      </c>
      <c r="F20" s="55">
        <f t="shared" si="7"/>
        <v>2158940.2817966272</v>
      </c>
      <c r="G20" s="57">
        <f t="shared" si="8"/>
        <v>319010.90895295655</v>
      </c>
      <c r="H20" s="42">
        <f t="shared" si="9"/>
        <v>319010.90895295655</v>
      </c>
      <c r="I20" s="52">
        <f t="shared" si="10"/>
        <v>0</v>
      </c>
      <c r="J20" s="52"/>
      <c r="K20" s="115"/>
      <c r="L20" s="54">
        <f t="shared" si="11"/>
        <v>0</v>
      </c>
      <c r="M20" s="115"/>
      <c r="N20" s="54">
        <f t="shared" si="12"/>
        <v>0</v>
      </c>
      <c r="O20" s="54">
        <f t="shared" si="13"/>
        <v>0</v>
      </c>
      <c r="P20" s="1"/>
    </row>
    <row r="21" spans="2:16" ht="12.5">
      <c r="B21" s="7" t="str">
        <f t="shared" si="14"/>
        <v/>
      </c>
      <c r="C21" s="50">
        <f>IF(D11="","-",+C20+1)</f>
        <v>2028</v>
      </c>
      <c r="D21" s="55">
        <f>IF(F20+SUM(E$17:E20)=D$10,F20,D$10-SUM(E$17:E20))</f>
        <v>2158940.2817966272</v>
      </c>
      <c r="E21" s="56">
        <f t="shared" si="6"/>
        <v>61911.206842105275</v>
      </c>
      <c r="F21" s="55">
        <f t="shared" si="7"/>
        <v>2097029.0749545218</v>
      </c>
      <c r="G21" s="57">
        <f t="shared" si="8"/>
        <v>311742.36575696518</v>
      </c>
      <c r="H21" s="42">
        <f t="shared" si="9"/>
        <v>311742.36575696518</v>
      </c>
      <c r="I21" s="52">
        <f t="shared" si="10"/>
        <v>0</v>
      </c>
      <c r="J21" s="52"/>
      <c r="K21" s="115"/>
      <c r="L21" s="54">
        <f t="shared" si="11"/>
        <v>0</v>
      </c>
      <c r="M21" s="115"/>
      <c r="N21" s="54">
        <f t="shared" si="12"/>
        <v>0</v>
      </c>
      <c r="O21" s="54">
        <f t="shared" si="13"/>
        <v>0</v>
      </c>
      <c r="P21" s="1"/>
    </row>
    <row r="22" spans="2:16" ht="12.5">
      <c r="B22" s="7" t="str">
        <f t="shared" si="14"/>
        <v/>
      </c>
      <c r="C22" s="50">
        <f>IF(D11="","-",+C21+1)</f>
        <v>2029</v>
      </c>
      <c r="D22" s="55">
        <f>IF(F21+SUM(E$17:E21)=D$10,F21,D$10-SUM(E$17:E21))</f>
        <v>2097029.0749545218</v>
      </c>
      <c r="E22" s="56">
        <f t="shared" si="6"/>
        <v>61911.206842105275</v>
      </c>
      <c r="F22" s="55">
        <f t="shared" si="7"/>
        <v>2035117.8681124165</v>
      </c>
      <c r="G22" s="57">
        <f t="shared" si="8"/>
        <v>304473.82256097376</v>
      </c>
      <c r="H22" s="42">
        <f t="shared" si="9"/>
        <v>304473.82256097376</v>
      </c>
      <c r="I22" s="52">
        <f t="shared" si="10"/>
        <v>0</v>
      </c>
      <c r="J22" s="52"/>
      <c r="K22" s="115"/>
      <c r="L22" s="54">
        <f t="shared" si="11"/>
        <v>0</v>
      </c>
      <c r="M22" s="115"/>
      <c r="N22" s="54">
        <f t="shared" si="12"/>
        <v>0</v>
      </c>
      <c r="O22" s="54">
        <f t="shared" si="13"/>
        <v>0</v>
      </c>
      <c r="P22" s="1"/>
    </row>
    <row r="23" spans="2:16" ht="12.5">
      <c r="B23" s="7" t="str">
        <f t="shared" si="14"/>
        <v/>
      </c>
      <c r="C23" s="50">
        <f>IF(D11="","-",+C22+1)</f>
        <v>2030</v>
      </c>
      <c r="D23" s="55">
        <f>IF(F22+SUM(E$17:E22)=D$10,F22,D$10-SUM(E$17:E22))</f>
        <v>2035117.8681124165</v>
      </c>
      <c r="E23" s="56">
        <f t="shared" si="6"/>
        <v>61911.206842105275</v>
      </c>
      <c r="F23" s="55">
        <f t="shared" si="7"/>
        <v>1973206.6612703111</v>
      </c>
      <c r="G23" s="57">
        <f t="shared" si="8"/>
        <v>297205.27936498233</v>
      </c>
      <c r="H23" s="42">
        <f t="shared" si="9"/>
        <v>297205.27936498233</v>
      </c>
      <c r="I23" s="52">
        <f t="shared" si="10"/>
        <v>0</v>
      </c>
      <c r="J23" s="52"/>
      <c r="K23" s="115"/>
      <c r="L23" s="54">
        <f t="shared" si="11"/>
        <v>0</v>
      </c>
      <c r="M23" s="115"/>
      <c r="N23" s="54">
        <f t="shared" si="12"/>
        <v>0</v>
      </c>
      <c r="O23" s="54">
        <f t="shared" si="13"/>
        <v>0</v>
      </c>
      <c r="P23" s="1"/>
    </row>
    <row r="24" spans="2:16" ht="12.5">
      <c r="B24" s="7" t="str">
        <f t="shared" si="14"/>
        <v/>
      </c>
      <c r="C24" s="50">
        <f>IF(D11="","-",+C23+1)</f>
        <v>2031</v>
      </c>
      <c r="D24" s="55">
        <f>IF(F23+SUM(E$17:E23)=D$10,F23,D$10-SUM(E$17:E23))</f>
        <v>1973206.6612703111</v>
      </c>
      <c r="E24" s="56">
        <f t="shared" si="6"/>
        <v>61911.206842105275</v>
      </c>
      <c r="F24" s="55">
        <f t="shared" si="7"/>
        <v>1911295.4544282057</v>
      </c>
      <c r="G24" s="57">
        <f t="shared" si="8"/>
        <v>289936.7361689909</v>
      </c>
      <c r="H24" s="42">
        <f t="shared" si="9"/>
        <v>289936.7361689909</v>
      </c>
      <c r="I24" s="52">
        <f t="shared" si="10"/>
        <v>0</v>
      </c>
      <c r="J24" s="52"/>
      <c r="K24" s="115"/>
      <c r="L24" s="54">
        <f t="shared" si="11"/>
        <v>0</v>
      </c>
      <c r="M24" s="115"/>
      <c r="N24" s="54">
        <f t="shared" si="12"/>
        <v>0</v>
      </c>
      <c r="O24" s="54">
        <f t="shared" si="13"/>
        <v>0</v>
      </c>
      <c r="P24" s="1"/>
    </row>
    <row r="25" spans="2:16" ht="12.5">
      <c r="B25" s="7" t="str">
        <f t="shared" si="14"/>
        <v/>
      </c>
      <c r="C25" s="50">
        <f>IF(D11="","-",+C24+1)</f>
        <v>2032</v>
      </c>
      <c r="D25" s="55">
        <f>IF(F24+SUM(E$17:E24)=D$10,F24,D$10-SUM(E$17:E24))</f>
        <v>1911295.4544282057</v>
      </c>
      <c r="E25" s="56">
        <f t="shared" si="6"/>
        <v>61911.206842105275</v>
      </c>
      <c r="F25" s="55">
        <f t="shared" si="7"/>
        <v>1849384.2475861004</v>
      </c>
      <c r="G25" s="57">
        <f t="shared" si="8"/>
        <v>282668.19297299947</v>
      </c>
      <c r="H25" s="42">
        <f t="shared" si="9"/>
        <v>282668.19297299947</v>
      </c>
      <c r="I25" s="52">
        <f t="shared" si="10"/>
        <v>0</v>
      </c>
      <c r="J25" s="52"/>
      <c r="K25" s="115"/>
      <c r="L25" s="54">
        <f t="shared" si="11"/>
        <v>0</v>
      </c>
      <c r="M25" s="115"/>
      <c r="N25" s="54">
        <f t="shared" si="12"/>
        <v>0</v>
      </c>
      <c r="O25" s="54">
        <f t="shared" si="13"/>
        <v>0</v>
      </c>
      <c r="P25" s="1"/>
    </row>
    <row r="26" spans="2:16" ht="12.5">
      <c r="B26" s="7" t="str">
        <f t="shared" si="14"/>
        <v/>
      </c>
      <c r="C26" s="50">
        <f>IF(D11="","-",+C25+1)</f>
        <v>2033</v>
      </c>
      <c r="D26" s="55">
        <f>IF(F25+SUM(E$17:E25)=D$10,F25,D$10-SUM(E$17:E25))</f>
        <v>1849384.2475861004</v>
      </c>
      <c r="E26" s="56">
        <f t="shared" si="6"/>
        <v>61911.206842105275</v>
      </c>
      <c r="F26" s="55">
        <f t="shared" si="7"/>
        <v>1787473.040743995</v>
      </c>
      <c r="G26" s="57">
        <f t="shared" si="8"/>
        <v>275399.64977700805</v>
      </c>
      <c r="H26" s="42">
        <f t="shared" si="9"/>
        <v>275399.64977700805</v>
      </c>
      <c r="I26" s="52">
        <f t="shared" si="10"/>
        <v>0</v>
      </c>
      <c r="J26" s="52"/>
      <c r="K26" s="115"/>
      <c r="L26" s="54">
        <f t="shared" si="11"/>
        <v>0</v>
      </c>
      <c r="M26" s="115"/>
      <c r="N26" s="54">
        <f t="shared" si="12"/>
        <v>0</v>
      </c>
      <c r="O26" s="54">
        <f t="shared" si="13"/>
        <v>0</v>
      </c>
      <c r="P26" s="1"/>
    </row>
    <row r="27" spans="2:16" ht="12.5">
      <c r="B27" s="7" t="str">
        <f t="shared" si="14"/>
        <v/>
      </c>
      <c r="C27" s="50">
        <f>IF(D11="","-",+C26+1)</f>
        <v>2034</v>
      </c>
      <c r="D27" s="55">
        <f>IF(F26+SUM(E$17:E26)=D$10,F26,D$10-SUM(E$17:E26))</f>
        <v>1787473.040743995</v>
      </c>
      <c r="E27" s="56">
        <f t="shared" si="6"/>
        <v>61911.206842105275</v>
      </c>
      <c r="F27" s="55">
        <f t="shared" si="7"/>
        <v>1725561.8339018896</v>
      </c>
      <c r="G27" s="57">
        <f t="shared" si="8"/>
        <v>268131.10658101662</v>
      </c>
      <c r="H27" s="42">
        <f t="shared" si="9"/>
        <v>268131.10658101662</v>
      </c>
      <c r="I27" s="52">
        <f t="shared" si="10"/>
        <v>0</v>
      </c>
      <c r="J27" s="52"/>
      <c r="K27" s="115"/>
      <c r="L27" s="54">
        <f t="shared" si="11"/>
        <v>0</v>
      </c>
      <c r="M27" s="115"/>
      <c r="N27" s="54">
        <f t="shared" si="12"/>
        <v>0</v>
      </c>
      <c r="O27" s="54">
        <f t="shared" si="13"/>
        <v>0</v>
      </c>
      <c r="P27" s="1"/>
    </row>
    <row r="28" spans="2:16" ht="12.5">
      <c r="B28" s="7" t="str">
        <f t="shared" si="14"/>
        <v/>
      </c>
      <c r="C28" s="50">
        <f>IF(D11="","-",+C27+1)</f>
        <v>2035</v>
      </c>
      <c r="D28" s="55">
        <f>IF(F27+SUM(E$17:E27)=D$10,F27,D$10-SUM(E$17:E27))</f>
        <v>1725561.8339018896</v>
      </c>
      <c r="E28" s="56">
        <f t="shared" si="6"/>
        <v>61911.206842105275</v>
      </c>
      <c r="F28" s="55">
        <f t="shared" si="7"/>
        <v>1663650.6270597843</v>
      </c>
      <c r="G28" s="57">
        <f t="shared" si="8"/>
        <v>260862.56338502519</v>
      </c>
      <c r="H28" s="42">
        <f t="shared" si="9"/>
        <v>260862.56338502519</v>
      </c>
      <c r="I28" s="52">
        <f t="shared" si="10"/>
        <v>0</v>
      </c>
      <c r="J28" s="52"/>
      <c r="K28" s="115"/>
      <c r="L28" s="54">
        <f t="shared" si="11"/>
        <v>0</v>
      </c>
      <c r="M28" s="115"/>
      <c r="N28" s="54">
        <f t="shared" si="12"/>
        <v>0</v>
      </c>
      <c r="O28" s="54">
        <f t="shared" si="13"/>
        <v>0</v>
      </c>
      <c r="P28" s="1"/>
    </row>
    <row r="29" spans="2:16" ht="12.5">
      <c r="B29" s="7" t="str">
        <f t="shared" si="14"/>
        <v/>
      </c>
      <c r="C29" s="50">
        <f>IF(D11="","-",+C28+1)</f>
        <v>2036</v>
      </c>
      <c r="D29" s="55">
        <f>IF(F28+SUM(E$17:E28)=D$10,F28,D$10-SUM(E$17:E28))</f>
        <v>1663650.6270597843</v>
      </c>
      <c r="E29" s="56">
        <f t="shared" si="6"/>
        <v>61911.206842105275</v>
      </c>
      <c r="F29" s="55">
        <f t="shared" si="7"/>
        <v>1601739.4202176789</v>
      </c>
      <c r="G29" s="57">
        <f t="shared" si="8"/>
        <v>253594.02018903376</v>
      </c>
      <c r="H29" s="42">
        <f t="shared" si="9"/>
        <v>253594.02018903376</v>
      </c>
      <c r="I29" s="52">
        <f t="shared" si="10"/>
        <v>0</v>
      </c>
      <c r="J29" s="52"/>
      <c r="K29" s="115"/>
      <c r="L29" s="54">
        <f t="shared" si="11"/>
        <v>0</v>
      </c>
      <c r="M29" s="115"/>
      <c r="N29" s="54">
        <f t="shared" si="12"/>
        <v>0</v>
      </c>
      <c r="O29" s="54">
        <f t="shared" si="13"/>
        <v>0</v>
      </c>
      <c r="P29" s="1"/>
    </row>
    <row r="30" spans="2:16" ht="12.5">
      <c r="B30" s="7" t="str">
        <f t="shared" si="14"/>
        <v/>
      </c>
      <c r="C30" s="50">
        <f>IF(D11="","-",+C29+1)</f>
        <v>2037</v>
      </c>
      <c r="D30" s="55">
        <f>IF(F29+SUM(E$17:E29)=D$10,F29,D$10-SUM(E$17:E29))</f>
        <v>1601739.4202176789</v>
      </c>
      <c r="E30" s="56">
        <f t="shared" si="6"/>
        <v>61911.206842105275</v>
      </c>
      <c r="F30" s="55">
        <f t="shared" si="7"/>
        <v>1539828.2133755735</v>
      </c>
      <c r="G30" s="57">
        <f t="shared" si="8"/>
        <v>246325.47699304234</v>
      </c>
      <c r="H30" s="42">
        <f t="shared" si="9"/>
        <v>246325.47699304234</v>
      </c>
      <c r="I30" s="52">
        <f t="shared" si="10"/>
        <v>0</v>
      </c>
      <c r="J30" s="52"/>
      <c r="K30" s="115"/>
      <c r="L30" s="54">
        <f t="shared" si="11"/>
        <v>0</v>
      </c>
      <c r="M30" s="115"/>
      <c r="N30" s="54">
        <f t="shared" si="12"/>
        <v>0</v>
      </c>
      <c r="O30" s="54">
        <f t="shared" si="13"/>
        <v>0</v>
      </c>
      <c r="P30" s="1"/>
    </row>
    <row r="31" spans="2:16" ht="12.5">
      <c r="B31" s="7" t="str">
        <f t="shared" si="14"/>
        <v/>
      </c>
      <c r="C31" s="50">
        <f>IF(D11="","-",+C30+1)</f>
        <v>2038</v>
      </c>
      <c r="D31" s="55">
        <f>IF(F30+SUM(E$17:E30)=D$10,F30,D$10-SUM(E$17:E30))</f>
        <v>1539828.2133755735</v>
      </c>
      <c r="E31" s="56">
        <f t="shared" si="6"/>
        <v>61911.206842105275</v>
      </c>
      <c r="F31" s="55">
        <f t="shared" si="7"/>
        <v>1477917.0065334681</v>
      </c>
      <c r="G31" s="57">
        <f t="shared" si="8"/>
        <v>239056.93379705091</v>
      </c>
      <c r="H31" s="42">
        <f t="shared" si="9"/>
        <v>239056.93379705091</v>
      </c>
      <c r="I31" s="52">
        <f t="shared" si="10"/>
        <v>0</v>
      </c>
      <c r="J31" s="52"/>
      <c r="K31" s="115"/>
      <c r="L31" s="54">
        <f t="shared" si="11"/>
        <v>0</v>
      </c>
      <c r="M31" s="115"/>
      <c r="N31" s="54">
        <f t="shared" si="12"/>
        <v>0</v>
      </c>
      <c r="O31" s="54">
        <f t="shared" si="13"/>
        <v>0</v>
      </c>
      <c r="P31" s="1"/>
    </row>
    <row r="32" spans="2:16" ht="12.5">
      <c r="B32" s="7" t="str">
        <f t="shared" si="14"/>
        <v/>
      </c>
      <c r="C32" s="50">
        <f>IF(D11="","-",+C31+1)</f>
        <v>2039</v>
      </c>
      <c r="D32" s="55">
        <f>IF(F31+SUM(E$17:E31)=D$10,F31,D$10-SUM(E$17:E31))</f>
        <v>1477917.0065334681</v>
      </c>
      <c r="E32" s="56">
        <f t="shared" si="6"/>
        <v>61911.206842105275</v>
      </c>
      <c r="F32" s="55">
        <f t="shared" si="7"/>
        <v>1416005.7996913628</v>
      </c>
      <c r="G32" s="57">
        <f t="shared" si="8"/>
        <v>231788.39060105948</v>
      </c>
      <c r="H32" s="42">
        <f t="shared" si="9"/>
        <v>231788.39060105948</v>
      </c>
      <c r="I32" s="52">
        <f t="shared" si="10"/>
        <v>0</v>
      </c>
      <c r="J32" s="52"/>
      <c r="K32" s="115"/>
      <c r="L32" s="54">
        <f t="shared" si="11"/>
        <v>0</v>
      </c>
      <c r="M32" s="115"/>
      <c r="N32" s="54">
        <f t="shared" si="12"/>
        <v>0</v>
      </c>
      <c r="O32" s="54">
        <f t="shared" si="13"/>
        <v>0</v>
      </c>
      <c r="P32" s="1"/>
    </row>
    <row r="33" spans="2:16" ht="12.5">
      <c r="B33" s="7" t="str">
        <f t="shared" si="14"/>
        <v/>
      </c>
      <c r="C33" s="50">
        <f>IF(D11="","-",+C32+1)</f>
        <v>2040</v>
      </c>
      <c r="D33" s="55">
        <f>IF(F32+SUM(E$17:E32)=D$10,F32,D$10-SUM(E$17:E32))</f>
        <v>1416005.7996913628</v>
      </c>
      <c r="E33" s="56">
        <f t="shared" si="6"/>
        <v>61911.206842105275</v>
      </c>
      <c r="F33" s="55">
        <f t="shared" si="7"/>
        <v>1354094.5928492574</v>
      </c>
      <c r="G33" s="57">
        <f t="shared" si="8"/>
        <v>224519.84740506805</v>
      </c>
      <c r="H33" s="42">
        <f t="shared" si="9"/>
        <v>224519.84740506805</v>
      </c>
      <c r="I33" s="52">
        <f t="shared" si="10"/>
        <v>0</v>
      </c>
      <c r="J33" s="52"/>
      <c r="K33" s="115"/>
      <c r="L33" s="54">
        <f t="shared" si="11"/>
        <v>0</v>
      </c>
      <c r="M33" s="115"/>
      <c r="N33" s="54">
        <f t="shared" si="12"/>
        <v>0</v>
      </c>
      <c r="O33" s="54">
        <f t="shared" si="13"/>
        <v>0</v>
      </c>
      <c r="P33" s="1"/>
    </row>
    <row r="34" spans="2:16" ht="12.5">
      <c r="B34" s="7" t="str">
        <f t="shared" si="14"/>
        <v/>
      </c>
      <c r="C34" s="50">
        <f>IF(D11="","-",+C33+1)</f>
        <v>2041</v>
      </c>
      <c r="D34" s="55">
        <f>IF(F33+SUM(E$17:E33)=D$10,F33,D$10-SUM(E$17:E33))</f>
        <v>1354094.5928492574</v>
      </c>
      <c r="E34" s="56">
        <f t="shared" si="6"/>
        <v>61911.206842105275</v>
      </c>
      <c r="F34" s="55">
        <f t="shared" si="7"/>
        <v>1292183.386007152</v>
      </c>
      <c r="G34" s="57">
        <f t="shared" si="8"/>
        <v>217251.30420907662</v>
      </c>
      <c r="H34" s="42">
        <f t="shared" si="9"/>
        <v>217251.30420907662</v>
      </c>
      <c r="I34" s="52">
        <f t="shared" si="10"/>
        <v>0</v>
      </c>
      <c r="J34" s="52"/>
      <c r="K34" s="115"/>
      <c r="L34" s="54">
        <f t="shared" si="11"/>
        <v>0</v>
      </c>
      <c r="M34" s="115"/>
      <c r="N34" s="54">
        <f t="shared" si="12"/>
        <v>0</v>
      </c>
      <c r="O34" s="54">
        <f t="shared" si="13"/>
        <v>0</v>
      </c>
      <c r="P34" s="1"/>
    </row>
    <row r="35" spans="2:16" ht="12.5">
      <c r="B35" s="7" t="str">
        <f t="shared" si="14"/>
        <v/>
      </c>
      <c r="C35" s="50">
        <f>IF(D11="","-",+C34+1)</f>
        <v>2042</v>
      </c>
      <c r="D35" s="55">
        <f>IF(F34+SUM(E$17:E34)=D$10,F34,D$10-SUM(E$17:E34))</f>
        <v>1292183.386007152</v>
      </c>
      <c r="E35" s="56">
        <f t="shared" si="6"/>
        <v>61911.206842105275</v>
      </c>
      <c r="F35" s="55">
        <f t="shared" si="7"/>
        <v>1230272.1791650467</v>
      </c>
      <c r="G35" s="57">
        <f t="shared" si="8"/>
        <v>209982.7610130852</v>
      </c>
      <c r="H35" s="42">
        <f t="shared" si="9"/>
        <v>209982.7610130852</v>
      </c>
      <c r="I35" s="52">
        <f t="shared" si="10"/>
        <v>0</v>
      </c>
      <c r="J35" s="52"/>
      <c r="K35" s="115"/>
      <c r="L35" s="54">
        <f t="shared" si="11"/>
        <v>0</v>
      </c>
      <c r="M35" s="115"/>
      <c r="N35" s="54">
        <f t="shared" si="12"/>
        <v>0</v>
      </c>
      <c r="O35" s="54">
        <f t="shared" si="13"/>
        <v>0</v>
      </c>
      <c r="P35" s="1"/>
    </row>
    <row r="36" spans="2:16" ht="12.5">
      <c r="B36" s="7" t="str">
        <f t="shared" si="14"/>
        <v/>
      </c>
      <c r="C36" s="50">
        <f>IF(D11="","-",+C35+1)</f>
        <v>2043</v>
      </c>
      <c r="D36" s="55">
        <f>IF(F35+SUM(E$17:E35)=D$10,F35,D$10-SUM(E$17:E35))</f>
        <v>1230272.1791650467</v>
      </c>
      <c r="E36" s="56">
        <f t="shared" si="6"/>
        <v>61911.206842105275</v>
      </c>
      <c r="F36" s="55">
        <f t="shared" si="7"/>
        <v>1168360.9723229413</v>
      </c>
      <c r="G36" s="57">
        <f t="shared" si="8"/>
        <v>202714.21781709377</v>
      </c>
      <c r="H36" s="42">
        <f t="shared" si="9"/>
        <v>202714.21781709377</v>
      </c>
      <c r="I36" s="52">
        <f t="shared" si="10"/>
        <v>0</v>
      </c>
      <c r="J36" s="52"/>
      <c r="K36" s="115"/>
      <c r="L36" s="54">
        <f t="shared" si="11"/>
        <v>0</v>
      </c>
      <c r="M36" s="115"/>
      <c r="N36" s="54">
        <f t="shared" si="12"/>
        <v>0</v>
      </c>
      <c r="O36" s="54">
        <f t="shared" si="13"/>
        <v>0</v>
      </c>
      <c r="P36" s="1"/>
    </row>
    <row r="37" spans="2:16" ht="12.5">
      <c r="B37" s="7" t="str">
        <f t="shared" si="14"/>
        <v/>
      </c>
      <c r="C37" s="50">
        <f>IF(D11="","-",+C36+1)</f>
        <v>2044</v>
      </c>
      <c r="D37" s="55">
        <f>IF(F36+SUM(E$17:E36)=D$10,F36,D$10-SUM(E$17:E36))</f>
        <v>1168360.9723229413</v>
      </c>
      <c r="E37" s="56">
        <f t="shared" si="6"/>
        <v>61911.206842105275</v>
      </c>
      <c r="F37" s="55">
        <f t="shared" si="7"/>
        <v>1106449.7654808359</v>
      </c>
      <c r="G37" s="57">
        <f t="shared" si="8"/>
        <v>195445.67462110234</v>
      </c>
      <c r="H37" s="42">
        <f t="shared" si="9"/>
        <v>195445.67462110234</v>
      </c>
      <c r="I37" s="52">
        <f t="shared" si="10"/>
        <v>0</v>
      </c>
      <c r="J37" s="52"/>
      <c r="K37" s="115"/>
      <c r="L37" s="54">
        <f t="shared" si="11"/>
        <v>0</v>
      </c>
      <c r="M37" s="115"/>
      <c r="N37" s="54">
        <f t="shared" si="12"/>
        <v>0</v>
      </c>
      <c r="O37" s="54">
        <f t="shared" si="13"/>
        <v>0</v>
      </c>
      <c r="P37" s="1"/>
    </row>
    <row r="38" spans="2:16" ht="12.5">
      <c r="B38" s="7" t="str">
        <f t="shared" si="14"/>
        <v/>
      </c>
      <c r="C38" s="50">
        <f>IF(D11="","-",+C37+1)</f>
        <v>2045</v>
      </c>
      <c r="D38" s="55">
        <f>IF(F37+SUM(E$17:E37)=D$10,F37,D$10-SUM(E$17:E37))</f>
        <v>1106449.7654808359</v>
      </c>
      <c r="E38" s="56">
        <f t="shared" si="6"/>
        <v>61911.206842105275</v>
      </c>
      <c r="F38" s="55">
        <f t="shared" si="7"/>
        <v>1044538.5586387307</v>
      </c>
      <c r="G38" s="57">
        <f t="shared" si="8"/>
        <v>188177.13142511091</v>
      </c>
      <c r="H38" s="42">
        <f t="shared" si="9"/>
        <v>188177.13142511091</v>
      </c>
      <c r="I38" s="52">
        <f t="shared" si="10"/>
        <v>0</v>
      </c>
      <c r="J38" s="52"/>
      <c r="K38" s="115"/>
      <c r="L38" s="54">
        <f t="shared" si="11"/>
        <v>0</v>
      </c>
      <c r="M38" s="115"/>
      <c r="N38" s="54">
        <f t="shared" si="12"/>
        <v>0</v>
      </c>
      <c r="O38" s="54">
        <f t="shared" si="13"/>
        <v>0</v>
      </c>
      <c r="P38" s="1"/>
    </row>
    <row r="39" spans="2:16" ht="12.5">
      <c r="B39" s="7" t="str">
        <f t="shared" si="14"/>
        <v/>
      </c>
      <c r="C39" s="50">
        <f>IF(D11="","-",+C38+1)</f>
        <v>2046</v>
      </c>
      <c r="D39" s="55">
        <f>IF(F38+SUM(E$17:E38)=D$10,F38,D$10-SUM(E$17:E38))</f>
        <v>1044538.5586387307</v>
      </c>
      <c r="E39" s="56">
        <f t="shared" si="6"/>
        <v>61911.206842105275</v>
      </c>
      <c r="F39" s="55">
        <f t="shared" si="7"/>
        <v>982627.35179662541</v>
      </c>
      <c r="G39" s="57">
        <f t="shared" si="8"/>
        <v>180908.58822911952</v>
      </c>
      <c r="H39" s="42">
        <f t="shared" si="9"/>
        <v>180908.58822911952</v>
      </c>
      <c r="I39" s="52">
        <f t="shared" si="10"/>
        <v>0</v>
      </c>
      <c r="J39" s="52"/>
      <c r="K39" s="115"/>
      <c r="L39" s="54">
        <f t="shared" si="11"/>
        <v>0</v>
      </c>
      <c r="M39" s="115"/>
      <c r="N39" s="54">
        <f t="shared" si="12"/>
        <v>0</v>
      </c>
      <c r="O39" s="54">
        <f t="shared" si="13"/>
        <v>0</v>
      </c>
      <c r="P39" s="1"/>
    </row>
    <row r="40" spans="2:16" ht="12.5">
      <c r="B40" s="7" t="str">
        <f t="shared" si="14"/>
        <v/>
      </c>
      <c r="C40" s="50">
        <f>IF(D11="","-",+C39+1)</f>
        <v>2047</v>
      </c>
      <c r="D40" s="55">
        <f>IF(F39+SUM(E$17:E39)=D$10,F39,D$10-SUM(E$17:E39))</f>
        <v>982627.35179662541</v>
      </c>
      <c r="E40" s="56">
        <f t="shared" si="6"/>
        <v>61911.206842105275</v>
      </c>
      <c r="F40" s="55">
        <f t="shared" si="7"/>
        <v>920716.14495452016</v>
      </c>
      <c r="G40" s="57">
        <f t="shared" si="8"/>
        <v>173640.04503312809</v>
      </c>
      <c r="H40" s="42">
        <f t="shared" si="9"/>
        <v>173640.04503312809</v>
      </c>
      <c r="I40" s="52">
        <f t="shared" si="10"/>
        <v>0</v>
      </c>
      <c r="J40" s="52"/>
      <c r="K40" s="115"/>
      <c r="L40" s="54">
        <f t="shared" si="11"/>
        <v>0</v>
      </c>
      <c r="M40" s="115"/>
      <c r="N40" s="54">
        <f t="shared" si="12"/>
        <v>0</v>
      </c>
      <c r="O40" s="54">
        <f t="shared" si="13"/>
        <v>0</v>
      </c>
      <c r="P40" s="1"/>
    </row>
    <row r="41" spans="2:16" ht="12.5">
      <c r="B41" s="7" t="str">
        <f t="shared" si="14"/>
        <v/>
      </c>
      <c r="C41" s="50">
        <f>IF(D11="","-",+C40+1)</f>
        <v>2048</v>
      </c>
      <c r="D41" s="55">
        <f>IF(F40+SUM(E$17:E40)=D$10,F40,D$10-SUM(E$17:E40))</f>
        <v>920716.14495452016</v>
      </c>
      <c r="E41" s="56">
        <f t="shared" si="6"/>
        <v>61911.206842105275</v>
      </c>
      <c r="F41" s="55">
        <f t="shared" si="7"/>
        <v>858804.93811241491</v>
      </c>
      <c r="G41" s="57">
        <f t="shared" si="8"/>
        <v>166371.50183713669</v>
      </c>
      <c r="H41" s="42">
        <f t="shared" si="9"/>
        <v>166371.50183713669</v>
      </c>
      <c r="I41" s="52">
        <f t="shared" si="10"/>
        <v>0</v>
      </c>
      <c r="J41" s="52"/>
      <c r="K41" s="115"/>
      <c r="L41" s="54">
        <f t="shared" si="11"/>
        <v>0</v>
      </c>
      <c r="M41" s="115"/>
      <c r="N41" s="54">
        <f t="shared" si="12"/>
        <v>0</v>
      </c>
      <c r="O41" s="54">
        <f t="shared" si="13"/>
        <v>0</v>
      </c>
      <c r="P41" s="1"/>
    </row>
    <row r="42" spans="2:16" ht="12.5">
      <c r="B42" s="7" t="str">
        <f t="shared" si="14"/>
        <v/>
      </c>
      <c r="C42" s="50">
        <f>IF(D11="","-",+C41+1)</f>
        <v>2049</v>
      </c>
      <c r="D42" s="55">
        <f>IF(F41+SUM(E$17:E41)=D$10,F41,D$10-SUM(E$17:E41))</f>
        <v>858804.93811241491</v>
      </c>
      <c r="E42" s="56">
        <f t="shared" si="6"/>
        <v>61911.206842105275</v>
      </c>
      <c r="F42" s="55">
        <f t="shared" si="7"/>
        <v>796893.73127030965</v>
      </c>
      <c r="G42" s="57">
        <f t="shared" si="8"/>
        <v>159102.95864114526</v>
      </c>
      <c r="H42" s="42">
        <f t="shared" si="9"/>
        <v>159102.95864114526</v>
      </c>
      <c r="I42" s="52">
        <f t="shared" si="10"/>
        <v>0</v>
      </c>
      <c r="J42" s="52"/>
      <c r="K42" s="115"/>
      <c r="L42" s="54">
        <f t="shared" si="11"/>
        <v>0</v>
      </c>
      <c r="M42" s="115"/>
      <c r="N42" s="54">
        <f t="shared" si="12"/>
        <v>0</v>
      </c>
      <c r="O42" s="54">
        <f t="shared" si="13"/>
        <v>0</v>
      </c>
      <c r="P42" s="1"/>
    </row>
    <row r="43" spans="2:16" ht="12.5">
      <c r="B43" s="7" t="str">
        <f t="shared" si="14"/>
        <v/>
      </c>
      <c r="C43" s="50">
        <f>IF(D11="","-",+C42+1)</f>
        <v>2050</v>
      </c>
      <c r="D43" s="55">
        <f>IF(F42+SUM(E$17:E42)=D$10,F42,D$10-SUM(E$17:E42))</f>
        <v>796893.73127030965</v>
      </c>
      <c r="E43" s="56">
        <f t="shared" si="6"/>
        <v>61911.206842105275</v>
      </c>
      <c r="F43" s="55">
        <f t="shared" si="7"/>
        <v>734982.5244282044</v>
      </c>
      <c r="G43" s="57">
        <f t="shared" si="8"/>
        <v>151834.41544515386</v>
      </c>
      <c r="H43" s="42">
        <f t="shared" si="9"/>
        <v>151834.41544515386</v>
      </c>
      <c r="I43" s="52">
        <f t="shared" si="10"/>
        <v>0</v>
      </c>
      <c r="J43" s="52"/>
      <c r="K43" s="115"/>
      <c r="L43" s="54">
        <f t="shared" si="11"/>
        <v>0</v>
      </c>
      <c r="M43" s="115"/>
      <c r="N43" s="54">
        <f t="shared" si="12"/>
        <v>0</v>
      </c>
      <c r="O43" s="54">
        <f t="shared" si="13"/>
        <v>0</v>
      </c>
      <c r="P43" s="1"/>
    </row>
    <row r="44" spans="2:16" ht="12.5">
      <c r="B44" s="7" t="str">
        <f t="shared" si="14"/>
        <v/>
      </c>
      <c r="C44" s="50">
        <f>IF(D11="","-",+C43+1)</f>
        <v>2051</v>
      </c>
      <c r="D44" s="55">
        <f>IF(F43+SUM(E$17:E43)=D$10,F43,D$10-SUM(E$17:E43))</f>
        <v>734982.5244282044</v>
      </c>
      <c r="E44" s="56">
        <f t="shared" si="6"/>
        <v>61911.206842105275</v>
      </c>
      <c r="F44" s="55">
        <f t="shared" si="7"/>
        <v>673071.31758609915</v>
      </c>
      <c r="G44" s="57">
        <f t="shared" si="8"/>
        <v>144565.87224916244</v>
      </c>
      <c r="H44" s="42">
        <f t="shared" si="9"/>
        <v>144565.87224916244</v>
      </c>
      <c r="I44" s="52">
        <f t="shared" si="10"/>
        <v>0</v>
      </c>
      <c r="J44" s="52"/>
      <c r="K44" s="115"/>
      <c r="L44" s="54">
        <f t="shared" si="11"/>
        <v>0</v>
      </c>
      <c r="M44" s="115"/>
      <c r="N44" s="54">
        <f t="shared" si="12"/>
        <v>0</v>
      </c>
      <c r="O44" s="54">
        <f t="shared" si="13"/>
        <v>0</v>
      </c>
      <c r="P44" s="1"/>
    </row>
    <row r="45" spans="2:16" ht="12.5">
      <c r="B45" s="7" t="str">
        <f t="shared" si="14"/>
        <v/>
      </c>
      <c r="C45" s="50">
        <f>IF(D11="","-",+C44+1)</f>
        <v>2052</v>
      </c>
      <c r="D45" s="55">
        <f>IF(F44+SUM(E$17:E44)=D$10,F44,D$10-SUM(E$17:E44))</f>
        <v>673071.31758609915</v>
      </c>
      <c r="E45" s="56">
        <f t="shared" si="6"/>
        <v>61911.206842105275</v>
      </c>
      <c r="F45" s="55">
        <f t="shared" si="7"/>
        <v>611160.11074399389</v>
      </c>
      <c r="G45" s="57">
        <f t="shared" si="8"/>
        <v>137297.32905317104</v>
      </c>
      <c r="H45" s="42">
        <f t="shared" si="9"/>
        <v>137297.32905317104</v>
      </c>
      <c r="I45" s="52">
        <f t="shared" si="10"/>
        <v>0</v>
      </c>
      <c r="J45" s="52"/>
      <c r="K45" s="115"/>
      <c r="L45" s="54">
        <f t="shared" si="11"/>
        <v>0</v>
      </c>
      <c r="M45" s="115"/>
      <c r="N45" s="54">
        <f t="shared" si="12"/>
        <v>0</v>
      </c>
      <c r="O45" s="54">
        <f t="shared" si="13"/>
        <v>0</v>
      </c>
      <c r="P45" s="1"/>
    </row>
    <row r="46" spans="2:16" ht="12.5">
      <c r="B46" s="7" t="str">
        <f t="shared" si="14"/>
        <v/>
      </c>
      <c r="C46" s="50">
        <f>IF(D11="","-",+C45+1)</f>
        <v>2053</v>
      </c>
      <c r="D46" s="55">
        <f>IF(F45+SUM(E$17:E45)=D$10,F45,D$10-SUM(E$17:E45))</f>
        <v>611160.11074399389</v>
      </c>
      <c r="E46" s="56">
        <f t="shared" si="6"/>
        <v>61911.206842105275</v>
      </c>
      <c r="F46" s="55">
        <f t="shared" si="7"/>
        <v>549248.90390188864</v>
      </c>
      <c r="G46" s="57">
        <f t="shared" si="8"/>
        <v>130028.78585717961</v>
      </c>
      <c r="H46" s="42">
        <f t="shared" si="9"/>
        <v>130028.78585717961</v>
      </c>
      <c r="I46" s="52">
        <f t="shared" si="10"/>
        <v>0</v>
      </c>
      <c r="J46" s="52"/>
      <c r="K46" s="115"/>
      <c r="L46" s="54">
        <f t="shared" si="11"/>
        <v>0</v>
      </c>
      <c r="M46" s="115"/>
      <c r="N46" s="54">
        <f t="shared" si="12"/>
        <v>0</v>
      </c>
      <c r="O46" s="54">
        <f t="shared" si="13"/>
        <v>0</v>
      </c>
      <c r="P46" s="1"/>
    </row>
    <row r="47" spans="2:16" ht="12.5">
      <c r="B47" s="7" t="str">
        <f t="shared" si="14"/>
        <v/>
      </c>
      <c r="C47" s="50">
        <f>IF(D11="","-",+C46+1)</f>
        <v>2054</v>
      </c>
      <c r="D47" s="55">
        <f>IF(F46+SUM(E$17:E46)=D$10,F46,D$10-SUM(E$17:E46))</f>
        <v>549248.90390188864</v>
      </c>
      <c r="E47" s="56">
        <f t="shared" si="6"/>
        <v>61911.206842105275</v>
      </c>
      <c r="F47" s="55">
        <f t="shared" si="7"/>
        <v>487337.69705978339</v>
      </c>
      <c r="G47" s="57">
        <f t="shared" si="8"/>
        <v>122760.24266118818</v>
      </c>
      <c r="H47" s="42">
        <f t="shared" si="9"/>
        <v>122760.24266118818</v>
      </c>
      <c r="I47" s="52">
        <f t="shared" si="10"/>
        <v>0</v>
      </c>
      <c r="J47" s="52"/>
      <c r="K47" s="115"/>
      <c r="L47" s="54">
        <f t="shared" si="11"/>
        <v>0</v>
      </c>
      <c r="M47" s="115"/>
      <c r="N47" s="54">
        <f t="shared" si="12"/>
        <v>0</v>
      </c>
      <c r="O47" s="54">
        <f t="shared" si="13"/>
        <v>0</v>
      </c>
      <c r="P47" s="1"/>
    </row>
    <row r="48" spans="2:16" ht="12.5">
      <c r="B48" s="7" t="str">
        <f t="shared" si="14"/>
        <v/>
      </c>
      <c r="C48" s="50">
        <f>IF(D11="","-",+C47+1)</f>
        <v>2055</v>
      </c>
      <c r="D48" s="55">
        <f>IF(F47+SUM(E$17:E47)=D$10,F47,D$10-SUM(E$17:E47))</f>
        <v>487337.69705978339</v>
      </c>
      <c r="E48" s="56">
        <f t="shared" si="6"/>
        <v>61911.206842105275</v>
      </c>
      <c r="F48" s="55">
        <f t="shared" si="7"/>
        <v>425426.49021767813</v>
      </c>
      <c r="G48" s="57">
        <f t="shared" si="8"/>
        <v>115491.69946519678</v>
      </c>
      <c r="H48" s="42">
        <f t="shared" si="9"/>
        <v>115491.69946519678</v>
      </c>
      <c r="I48" s="52">
        <f t="shared" si="10"/>
        <v>0</v>
      </c>
      <c r="J48" s="52"/>
      <c r="K48" s="115"/>
      <c r="L48" s="54">
        <f t="shared" si="11"/>
        <v>0</v>
      </c>
      <c r="M48" s="115"/>
      <c r="N48" s="54">
        <f t="shared" si="12"/>
        <v>0</v>
      </c>
      <c r="O48" s="54">
        <f t="shared" si="13"/>
        <v>0</v>
      </c>
      <c r="P48" s="1"/>
    </row>
    <row r="49" spans="2:22" ht="12.5">
      <c r="B49" s="7" t="str">
        <f t="shared" si="14"/>
        <v/>
      </c>
      <c r="C49" s="50">
        <f>IF(D11="","-",+C48+1)</f>
        <v>2056</v>
      </c>
      <c r="D49" s="55">
        <f>IF(F48+SUM(E$17:E48)=D$10,F48,D$10-SUM(E$17:E48))</f>
        <v>425426.49021767813</v>
      </c>
      <c r="E49" s="56">
        <f t="shared" si="6"/>
        <v>61911.206842105275</v>
      </c>
      <c r="F49" s="55">
        <f t="shared" si="7"/>
        <v>363515.28337557288</v>
      </c>
      <c r="G49" s="57">
        <f t="shared" si="8"/>
        <v>108223.15626920536</v>
      </c>
      <c r="H49" s="42">
        <f t="shared" si="9"/>
        <v>108223.15626920536</v>
      </c>
      <c r="I49" s="52">
        <f t="shared" si="10"/>
        <v>0</v>
      </c>
      <c r="J49" s="52"/>
      <c r="K49" s="115"/>
      <c r="L49" s="54">
        <f t="shared" si="11"/>
        <v>0</v>
      </c>
      <c r="M49" s="115"/>
      <c r="N49" s="54">
        <f t="shared" si="12"/>
        <v>0</v>
      </c>
      <c r="O49" s="54">
        <f t="shared" si="13"/>
        <v>0</v>
      </c>
      <c r="P49" s="1"/>
    </row>
    <row r="50" spans="2:22" ht="12.5">
      <c r="B50" s="7" t="str">
        <f t="shared" si="14"/>
        <v/>
      </c>
      <c r="C50" s="50">
        <f>IF(D11="","-",+C49+1)</f>
        <v>2057</v>
      </c>
      <c r="D50" s="55">
        <f>IF(F49+SUM(E$17:E49)=D$10,F49,D$10-SUM(E$17:E49))</f>
        <v>363515.28337557288</v>
      </c>
      <c r="E50" s="56">
        <f t="shared" si="6"/>
        <v>61911.206842105275</v>
      </c>
      <c r="F50" s="55">
        <f t="shared" si="7"/>
        <v>301604.07653346763</v>
      </c>
      <c r="G50" s="57">
        <f t="shared" si="8"/>
        <v>100954.61307321396</v>
      </c>
      <c r="H50" s="42">
        <f t="shared" si="9"/>
        <v>100954.61307321396</v>
      </c>
      <c r="I50" s="52">
        <f t="shared" si="10"/>
        <v>0</v>
      </c>
      <c r="J50" s="52"/>
      <c r="K50" s="115"/>
      <c r="L50" s="54">
        <f t="shared" si="11"/>
        <v>0</v>
      </c>
      <c r="M50" s="115"/>
      <c r="N50" s="54">
        <f t="shared" si="12"/>
        <v>0</v>
      </c>
      <c r="O50" s="54">
        <f t="shared" si="13"/>
        <v>0</v>
      </c>
      <c r="P50" s="1"/>
    </row>
    <row r="51" spans="2:22" ht="12.5">
      <c r="B51" s="7" t="str">
        <f t="shared" si="14"/>
        <v/>
      </c>
      <c r="C51" s="50">
        <f>IF(D11="","-",+C50+1)</f>
        <v>2058</v>
      </c>
      <c r="D51" s="55">
        <f>IF(F50+SUM(E$17:E50)=D$10,F50,D$10-SUM(E$17:E50))</f>
        <v>301604.07653346763</v>
      </c>
      <c r="E51" s="56">
        <f t="shared" si="6"/>
        <v>61911.206842105275</v>
      </c>
      <c r="F51" s="55">
        <f t="shared" si="7"/>
        <v>239692.86969136234</v>
      </c>
      <c r="G51" s="57">
        <f t="shared" si="8"/>
        <v>93686.06987722253</v>
      </c>
      <c r="H51" s="42">
        <f t="shared" si="9"/>
        <v>93686.06987722253</v>
      </c>
      <c r="I51" s="52">
        <f t="shared" si="10"/>
        <v>0</v>
      </c>
      <c r="J51" s="52"/>
      <c r="K51" s="115"/>
      <c r="L51" s="54">
        <f t="shared" si="11"/>
        <v>0</v>
      </c>
      <c r="M51" s="115"/>
      <c r="N51" s="54">
        <f t="shared" si="12"/>
        <v>0</v>
      </c>
      <c r="O51" s="54">
        <f t="shared" si="13"/>
        <v>0</v>
      </c>
      <c r="P51" s="1"/>
      <c r="V51" t="s">
        <v>455</v>
      </c>
    </row>
    <row r="52" spans="2:22" ht="12.5">
      <c r="B52" s="7" t="str">
        <f t="shared" si="14"/>
        <v/>
      </c>
      <c r="C52" s="50">
        <f>IF(D11="","-",+C51+1)</f>
        <v>2059</v>
      </c>
      <c r="D52" s="55">
        <f>IF(F51+SUM(E$17:E51)=D$10,F51,D$10-SUM(E$17:E51))</f>
        <v>239692.86969136234</v>
      </c>
      <c r="E52" s="56">
        <f t="shared" si="6"/>
        <v>61911.206842105275</v>
      </c>
      <c r="F52" s="55">
        <f t="shared" si="7"/>
        <v>177781.66284925706</v>
      </c>
      <c r="G52" s="57">
        <f t="shared" si="8"/>
        <v>86417.526681231117</v>
      </c>
      <c r="H52" s="42">
        <f t="shared" si="9"/>
        <v>86417.526681231117</v>
      </c>
      <c r="I52" s="52">
        <f t="shared" si="10"/>
        <v>0</v>
      </c>
      <c r="J52" s="52"/>
      <c r="K52" s="115"/>
      <c r="L52" s="54">
        <f t="shared" si="11"/>
        <v>0</v>
      </c>
      <c r="M52" s="115"/>
      <c r="N52" s="54">
        <f t="shared" si="12"/>
        <v>0</v>
      </c>
      <c r="O52" s="54">
        <f t="shared" si="13"/>
        <v>0</v>
      </c>
      <c r="P52" s="1"/>
    </row>
    <row r="53" spans="2:22" ht="12.5">
      <c r="B53" s="7" t="str">
        <f t="shared" si="14"/>
        <v/>
      </c>
      <c r="C53" s="50">
        <f>IF(D11="","-",+C52+1)</f>
        <v>2060</v>
      </c>
      <c r="D53" s="55">
        <f>IF(F52+SUM(E$17:E52)=D$10,F52,D$10-SUM(E$17:E52))</f>
        <v>177781.66284925706</v>
      </c>
      <c r="E53" s="56">
        <f t="shared" si="6"/>
        <v>61911.206842105275</v>
      </c>
      <c r="F53" s="55">
        <f t="shared" si="7"/>
        <v>115870.45600715178</v>
      </c>
      <c r="G53" s="57">
        <f t="shared" si="8"/>
        <v>79148.983485239703</v>
      </c>
      <c r="H53" s="42">
        <f t="shared" si="9"/>
        <v>79148.983485239703</v>
      </c>
      <c r="I53" s="52">
        <f t="shared" si="10"/>
        <v>0</v>
      </c>
      <c r="J53" s="52"/>
      <c r="K53" s="115"/>
      <c r="L53" s="54">
        <f t="shared" si="11"/>
        <v>0</v>
      </c>
      <c r="M53" s="115"/>
      <c r="N53" s="54">
        <f t="shared" si="12"/>
        <v>0</v>
      </c>
      <c r="O53" s="54">
        <f t="shared" si="13"/>
        <v>0</v>
      </c>
      <c r="P53" s="1"/>
    </row>
    <row r="54" spans="2:22" ht="12.5">
      <c r="B54" s="7" t="str">
        <f t="shared" si="14"/>
        <v/>
      </c>
      <c r="C54" s="50">
        <f>IF(D11="","-",+C53+1)</f>
        <v>2061</v>
      </c>
      <c r="D54" s="55">
        <f>IF(F53+SUM(E$17:E53)=D$10,F53,D$10-SUM(E$17:E53))</f>
        <v>115870.45600715178</v>
      </c>
      <c r="E54" s="56">
        <f t="shared" si="6"/>
        <v>61911.206842105275</v>
      </c>
      <c r="F54" s="55">
        <f t="shared" si="7"/>
        <v>53959.249165046502</v>
      </c>
      <c r="G54" s="57">
        <f t="shared" si="8"/>
        <v>71880.44028924829</v>
      </c>
      <c r="H54" s="42">
        <f t="shared" si="9"/>
        <v>71880.44028924829</v>
      </c>
      <c r="I54" s="52">
        <f t="shared" si="10"/>
        <v>0</v>
      </c>
      <c r="J54" s="52"/>
      <c r="K54" s="115"/>
      <c r="L54" s="54">
        <f t="shared" si="11"/>
        <v>0</v>
      </c>
      <c r="M54" s="115"/>
      <c r="N54" s="54">
        <f t="shared" si="12"/>
        <v>0</v>
      </c>
      <c r="O54" s="54">
        <f t="shared" si="13"/>
        <v>0</v>
      </c>
      <c r="P54" s="1"/>
    </row>
    <row r="55" spans="2:22" ht="12.5">
      <c r="B55" s="7" t="str">
        <f t="shared" si="14"/>
        <v/>
      </c>
      <c r="C55" s="50">
        <f>IF(D11="","-",+C54+1)</f>
        <v>2062</v>
      </c>
      <c r="D55" s="55">
        <f>IF(F54+SUM(E$17:E54)=D$10,F54,D$10-SUM(E$17:E54))</f>
        <v>53959.249165046502</v>
      </c>
      <c r="E55" s="56">
        <f t="shared" si="6"/>
        <v>53959.249165046502</v>
      </c>
      <c r="F55" s="55">
        <f t="shared" si="7"/>
        <v>0</v>
      </c>
      <c r="G55" s="57">
        <f t="shared" si="8"/>
        <v>57126.730089620149</v>
      </c>
      <c r="H55" s="42">
        <f t="shared" si="9"/>
        <v>57126.730089620149</v>
      </c>
      <c r="I55" s="52">
        <f t="shared" si="10"/>
        <v>0</v>
      </c>
      <c r="J55" s="52"/>
      <c r="K55" s="115"/>
      <c r="L55" s="54">
        <f t="shared" si="11"/>
        <v>0</v>
      </c>
      <c r="M55" s="115"/>
      <c r="N55" s="54">
        <f t="shared" si="12"/>
        <v>0</v>
      </c>
      <c r="O55" s="54">
        <f t="shared" si="13"/>
        <v>0</v>
      </c>
      <c r="P55" s="1"/>
    </row>
    <row r="56" spans="2:22" ht="12.5">
      <c r="B56" s="7" t="str">
        <f t="shared" si="14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11"/>
        <v>0</v>
      </c>
      <c r="M56" s="115"/>
      <c r="N56" s="54">
        <f t="shared" si="12"/>
        <v>0</v>
      </c>
      <c r="O56" s="54">
        <f t="shared" si="13"/>
        <v>0</v>
      </c>
      <c r="P56" s="1"/>
    </row>
    <row r="57" spans="2:22" ht="12.5">
      <c r="B57" s="7" t="str">
        <f t="shared" si="14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1"/>
        <v>0</v>
      </c>
      <c r="M57" s="115"/>
      <c r="N57" s="54">
        <f t="shared" si="12"/>
        <v>0</v>
      </c>
      <c r="O57" s="54">
        <f t="shared" si="13"/>
        <v>0</v>
      </c>
      <c r="P57" s="1"/>
    </row>
    <row r="58" spans="2:22" ht="12.5">
      <c r="B58" s="7" t="str">
        <f t="shared" si="14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1"/>
        <v>0</v>
      </c>
      <c r="M58" s="115"/>
      <c r="N58" s="54">
        <f t="shared" si="12"/>
        <v>0</v>
      </c>
      <c r="O58" s="54">
        <f t="shared" si="13"/>
        <v>0</v>
      </c>
      <c r="P58" s="1"/>
    </row>
    <row r="59" spans="2:22" ht="12.5">
      <c r="B59" s="7" t="str">
        <f t="shared" si="14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1"/>
        <v>0</v>
      </c>
      <c r="M59" s="115"/>
      <c r="N59" s="54">
        <f t="shared" si="12"/>
        <v>0</v>
      </c>
      <c r="O59" s="54">
        <f t="shared" si="13"/>
        <v>0</v>
      </c>
      <c r="P59" s="1"/>
    </row>
    <row r="60" spans="2:22" ht="12.5">
      <c r="B60" s="7" t="str">
        <f t="shared" si="14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1"/>
        <v>0</v>
      </c>
      <c r="M60" s="115"/>
      <c r="N60" s="54">
        <f t="shared" si="12"/>
        <v>0</v>
      </c>
      <c r="O60" s="54">
        <f t="shared" si="13"/>
        <v>0</v>
      </c>
      <c r="P60" s="1"/>
    </row>
    <row r="61" spans="2:22" ht="12.5">
      <c r="B61" s="7" t="str">
        <f t="shared" si="14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1"/>
        <v>0</v>
      </c>
      <c r="M61" s="115"/>
      <c r="N61" s="54">
        <f t="shared" si="12"/>
        <v>0</v>
      </c>
      <c r="O61" s="54">
        <f t="shared" si="13"/>
        <v>0</v>
      </c>
      <c r="P61" s="1"/>
    </row>
    <row r="62" spans="2:22" ht="12.5">
      <c r="B62" s="7" t="str">
        <f t="shared" si="14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1"/>
        <v>0</v>
      </c>
      <c r="M62" s="115"/>
      <c r="N62" s="54">
        <f t="shared" si="12"/>
        <v>0</v>
      </c>
      <c r="O62" s="54">
        <f t="shared" si="13"/>
        <v>0</v>
      </c>
      <c r="P62" s="1"/>
    </row>
    <row r="63" spans="2:22" ht="12.5">
      <c r="B63" s="7" t="str">
        <f t="shared" si="14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1"/>
        <v>0</v>
      </c>
      <c r="M63" s="115"/>
      <c r="N63" s="54">
        <f t="shared" si="12"/>
        <v>0</v>
      </c>
      <c r="O63" s="54">
        <f t="shared" si="13"/>
        <v>0</v>
      </c>
      <c r="P63" s="1"/>
    </row>
    <row r="64" spans="2:22" ht="12.5">
      <c r="B64" s="7" t="str">
        <f t="shared" si="14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1"/>
        <v>0</v>
      </c>
      <c r="M64" s="115"/>
      <c r="N64" s="54">
        <f t="shared" si="12"/>
        <v>0</v>
      </c>
      <c r="O64" s="54">
        <f t="shared" si="13"/>
        <v>0</v>
      </c>
      <c r="P64" s="1"/>
    </row>
    <row r="65" spans="2:16" ht="12.5">
      <c r="B65" s="7" t="str">
        <f t="shared" si="14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1"/>
        <v>0</v>
      </c>
      <c r="M65" s="115"/>
      <c r="N65" s="54">
        <f t="shared" si="12"/>
        <v>0</v>
      </c>
      <c r="O65" s="54">
        <f t="shared" si="13"/>
        <v>0</v>
      </c>
      <c r="P65" s="1"/>
    </row>
    <row r="66" spans="2:16" ht="12.5">
      <c r="B66" s="7" t="str">
        <f t="shared" si="14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1"/>
        <v>0</v>
      </c>
      <c r="M66" s="115"/>
      <c r="N66" s="54">
        <f t="shared" si="12"/>
        <v>0</v>
      </c>
      <c r="O66" s="54">
        <f t="shared" si="13"/>
        <v>0</v>
      </c>
      <c r="P66" s="1"/>
    </row>
    <row r="67" spans="2:16" ht="12.5">
      <c r="B67" s="7" t="str">
        <f t="shared" si="14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1"/>
        <v>0</v>
      </c>
      <c r="M67" s="115"/>
      <c r="N67" s="54">
        <f t="shared" si="12"/>
        <v>0</v>
      </c>
      <c r="O67" s="54">
        <f t="shared" si="13"/>
        <v>0</v>
      </c>
      <c r="P67" s="1"/>
    </row>
    <row r="68" spans="2:16" ht="12.5">
      <c r="B68" s="7" t="str">
        <f t="shared" si="14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1"/>
        <v>0</v>
      </c>
      <c r="M68" s="115"/>
      <c r="N68" s="54">
        <f t="shared" si="12"/>
        <v>0</v>
      </c>
      <c r="O68" s="54">
        <f t="shared" si="13"/>
        <v>0</v>
      </c>
      <c r="P68" s="1"/>
    </row>
    <row r="69" spans="2:16" ht="12.5">
      <c r="B69" s="7" t="str">
        <f t="shared" si="14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1"/>
        <v>0</v>
      </c>
      <c r="M69" s="115"/>
      <c r="N69" s="54">
        <f t="shared" si="12"/>
        <v>0</v>
      </c>
      <c r="O69" s="54">
        <f t="shared" si="13"/>
        <v>0</v>
      </c>
      <c r="P69" s="1"/>
    </row>
    <row r="70" spans="2:16" ht="12.5">
      <c r="B70" s="7" t="str">
        <f t="shared" si="14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1"/>
        <v>0</v>
      </c>
      <c r="M70" s="115"/>
      <c r="N70" s="54">
        <f t="shared" si="12"/>
        <v>0</v>
      </c>
      <c r="O70" s="54">
        <f t="shared" si="13"/>
        <v>0</v>
      </c>
      <c r="P70" s="1"/>
    </row>
    <row r="71" spans="2:16" ht="12.5">
      <c r="B71" s="7" t="str">
        <f t="shared" si="14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1"/>
        <v>0</v>
      </c>
      <c r="M71" s="115"/>
      <c r="N71" s="54">
        <f t="shared" si="12"/>
        <v>0</v>
      </c>
      <c r="O71" s="54">
        <f t="shared" si="13"/>
        <v>0</v>
      </c>
      <c r="P71" s="1"/>
    </row>
    <row r="72" spans="2:16" ht="13" thickBot="1">
      <c r="B72" s="7" t="str">
        <f t="shared" si="14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1"/>
        <v>0</v>
      </c>
      <c r="M72" s="116"/>
      <c r="N72" s="62">
        <f t="shared" si="12"/>
        <v>0</v>
      </c>
      <c r="O72" s="62">
        <f t="shared" si="13"/>
        <v>0</v>
      </c>
      <c r="P72" s="1"/>
    </row>
    <row r="73" spans="2:16" ht="12.5">
      <c r="C73" s="12" t="s">
        <v>77</v>
      </c>
      <c r="D73" s="14"/>
      <c r="E73" s="14">
        <f>SUM(E17:E72)</f>
        <v>2352625.8600000003</v>
      </c>
      <c r="F73" s="14"/>
      <c r="G73" s="14">
        <f>SUM(G17:G72)</f>
        <v>7588856.4168709042</v>
      </c>
      <c r="H73" s="14">
        <f>SUM(H17:H72)</f>
        <v>7588856.4168709042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35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122499.0864305765</v>
      </c>
      <c r="N87" s="66">
        <f>IF(J92&lt;D11,0,VLOOKUP(J92,C17:O72,11))</f>
        <v>122499.0864305765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158070.9581257196</v>
      </c>
      <c r="N88" s="68">
        <f>IF(J92&lt;D11,0,VLOOKUP(J92,C99:P154,7))</f>
        <v>158070.9581257196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Line - Osage - Webb City Tap - Shidler 138 kV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35571.871695143098</v>
      </c>
      <c r="N89" s="71">
        <f>+N88-N87</f>
        <v>35571.871695143098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TA2020138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v>2353670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v>38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61939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2024</v>
      </c>
      <c r="D99" s="460">
        <v>0</v>
      </c>
      <c r="E99" s="462">
        <v>0</v>
      </c>
      <c r="F99" s="461">
        <v>2353669.9899999998</v>
      </c>
      <c r="G99" s="463">
        <v>1176834.9949999999</v>
      </c>
      <c r="H99" s="463">
        <v>158070.9581257196</v>
      </c>
      <c r="I99" s="463">
        <v>158070.9581257196</v>
      </c>
      <c r="J99" s="54">
        <f>+I99-H99</f>
        <v>0</v>
      </c>
      <c r="K99" s="54"/>
      <c r="L99" s="324">
        <f t="shared" ref="L99" si="15">+H99</f>
        <v>158070.9581257196</v>
      </c>
      <c r="M99" s="54">
        <f t="shared" ref="M99:M107" si="16">IF(L99&lt;&gt;0,+H99-L99,0)</f>
        <v>0</v>
      </c>
      <c r="N99" s="324">
        <f t="shared" ref="N99" si="17">+I99</f>
        <v>158070.9581257196</v>
      </c>
      <c r="O99" s="54">
        <f t="shared" ref="O99:O107" si="18">IF(N99&lt;&gt;0,+I99-N99,0)</f>
        <v>0</v>
      </c>
      <c r="P99" s="54">
        <f t="shared" ref="P99:P107" si="19">+O99-M99</f>
        <v>0</v>
      </c>
    </row>
    <row r="100" spans="1:16" ht="12.5">
      <c r="B100" s="7" t="str">
        <f>IF(D100=F99,"","IU")</f>
        <v>IU</v>
      </c>
      <c r="C100" s="50">
        <f>IF(D93="","-",+C99+1)</f>
        <v>2025</v>
      </c>
      <c r="D100" s="460">
        <f>IF(F99+SUM(E$99:E99)=D$92,F99,D$92-SUM(E$99:E99))</f>
        <v>2353670</v>
      </c>
      <c r="E100" s="56">
        <f>IF(+J$96&lt;F99,J$96,D100)</f>
        <v>61939</v>
      </c>
      <c r="F100" s="461">
        <f>+D100-E100</f>
        <v>2291731</v>
      </c>
      <c r="G100" s="461">
        <f>+(F100+D100)/2</f>
        <v>2322700.5</v>
      </c>
      <c r="H100" s="113">
        <f t="shared" ref="H100" si="20">+J$94*G100+E100</f>
        <v>373921.13431279548</v>
      </c>
      <c r="I100" s="122">
        <f t="shared" ref="I100" si="21">+J$95*G100+E100</f>
        <v>373921.13431279548</v>
      </c>
      <c r="J100" s="54">
        <f t="shared" ref="J100:J130" si="22">+I100-H100</f>
        <v>0</v>
      </c>
      <c r="K100" s="54"/>
      <c r="L100" s="115"/>
      <c r="M100" s="54">
        <f t="shared" si="16"/>
        <v>0</v>
      </c>
      <c r="N100" s="115"/>
      <c r="O100" s="54">
        <f t="shared" si="18"/>
        <v>0</v>
      </c>
      <c r="P100" s="54">
        <f t="shared" si="19"/>
        <v>0</v>
      </c>
    </row>
    <row r="101" spans="1:16" ht="12.5">
      <c r="B101" s="7" t="str">
        <f t="shared" ref="B101:B154" si="23">IF(D101=F100,"","IU")</f>
        <v/>
      </c>
      <c r="C101" s="50">
        <f>IF(D93="","-",+C100+1)</f>
        <v>2026</v>
      </c>
      <c r="D101" s="460">
        <f>IF(F100+SUM(E$99:E100)=D$92,F100,D$92-SUM(E$99:E100))</f>
        <v>2291731</v>
      </c>
      <c r="E101" s="56">
        <f t="shared" ref="E101:E107" si="24">IF(+J$96&lt;F100,J$96,D101)</f>
        <v>61939</v>
      </c>
      <c r="F101" s="461">
        <f t="shared" ref="F101:F107" si="25">+D101-E101</f>
        <v>2229792</v>
      </c>
      <c r="G101" s="461">
        <f t="shared" ref="G101:G107" si="26">+(F101+D101)/2</f>
        <v>2260761.5</v>
      </c>
      <c r="H101" s="113">
        <f t="shared" ref="H101:H107" si="27">+J$94*G101+E101</f>
        <v>365601.5677491338</v>
      </c>
      <c r="I101" s="122">
        <f t="shared" ref="I101:I107" si="28">+J$95*G101+E101</f>
        <v>365601.5677491338</v>
      </c>
      <c r="J101" s="54">
        <f t="shared" si="22"/>
        <v>0</v>
      </c>
      <c r="K101" s="54"/>
      <c r="L101" s="115"/>
      <c r="M101" s="54">
        <f t="shared" si="16"/>
        <v>0</v>
      </c>
      <c r="N101" s="115"/>
      <c r="O101" s="54">
        <f t="shared" si="18"/>
        <v>0</v>
      </c>
      <c r="P101" s="54">
        <f t="shared" si="19"/>
        <v>0</v>
      </c>
    </row>
    <row r="102" spans="1:16" ht="12.5">
      <c r="B102" s="7" t="str">
        <f t="shared" si="23"/>
        <v/>
      </c>
      <c r="C102" s="50">
        <f>IF(D93="","-",+C101+1)</f>
        <v>2027</v>
      </c>
      <c r="D102" s="460">
        <f>IF(F101+SUM(E$99:E101)=D$92,F101,D$92-SUM(E$99:E101))</f>
        <v>2229792</v>
      </c>
      <c r="E102" s="56">
        <f t="shared" si="24"/>
        <v>61939</v>
      </c>
      <c r="F102" s="461">
        <f t="shared" si="25"/>
        <v>2167853</v>
      </c>
      <c r="G102" s="461">
        <f t="shared" si="26"/>
        <v>2198822.5</v>
      </c>
      <c r="H102" s="113">
        <f t="shared" si="27"/>
        <v>357282.00118547212</v>
      </c>
      <c r="I102" s="122">
        <f t="shared" si="28"/>
        <v>357282.00118547212</v>
      </c>
      <c r="J102" s="54">
        <f t="shared" si="22"/>
        <v>0</v>
      </c>
      <c r="K102" s="54"/>
      <c r="L102" s="115"/>
      <c r="M102" s="54">
        <f t="shared" si="16"/>
        <v>0</v>
      </c>
      <c r="N102" s="115"/>
      <c r="O102" s="54">
        <f t="shared" si="18"/>
        <v>0</v>
      </c>
      <c r="P102" s="54">
        <f t="shared" si="19"/>
        <v>0</v>
      </c>
    </row>
    <row r="103" spans="1:16" ht="12.5">
      <c r="B103" s="7" t="str">
        <f t="shared" si="23"/>
        <v/>
      </c>
      <c r="C103" s="50">
        <f>IF(D93="","-",+C102+1)</f>
        <v>2028</v>
      </c>
      <c r="D103" s="460">
        <f>IF(F102+SUM(E$99:E102)=D$92,F102,D$92-SUM(E$99:E102))</f>
        <v>2167853</v>
      </c>
      <c r="E103" s="56">
        <f t="shared" si="24"/>
        <v>61939</v>
      </c>
      <c r="F103" s="461">
        <f t="shared" si="25"/>
        <v>2105914</v>
      </c>
      <c r="G103" s="461">
        <f t="shared" si="26"/>
        <v>2136883.5</v>
      </c>
      <c r="H103" s="113">
        <f t="shared" si="27"/>
        <v>348962.43462181051</v>
      </c>
      <c r="I103" s="122">
        <f t="shared" si="28"/>
        <v>348962.43462181051</v>
      </c>
      <c r="J103" s="54">
        <f t="shared" si="22"/>
        <v>0</v>
      </c>
      <c r="K103" s="54"/>
      <c r="L103" s="115"/>
      <c r="M103" s="54">
        <f t="shared" si="16"/>
        <v>0</v>
      </c>
      <c r="N103" s="115"/>
      <c r="O103" s="54">
        <f t="shared" si="18"/>
        <v>0</v>
      </c>
      <c r="P103" s="54">
        <f t="shared" si="19"/>
        <v>0</v>
      </c>
    </row>
    <row r="104" spans="1:16" ht="12.5">
      <c r="B104" s="7" t="str">
        <f t="shared" si="23"/>
        <v/>
      </c>
      <c r="C104" s="50">
        <f>IF(D93="","-",+C103+1)</f>
        <v>2029</v>
      </c>
      <c r="D104" s="460">
        <f>IF(F103+SUM(E$99:E103)=D$92,F103,D$92-SUM(E$99:E103))</f>
        <v>2105914</v>
      </c>
      <c r="E104" s="56">
        <f t="shared" si="24"/>
        <v>61939</v>
      </c>
      <c r="F104" s="461">
        <f t="shared" si="25"/>
        <v>2043975</v>
      </c>
      <c r="G104" s="461">
        <f t="shared" si="26"/>
        <v>2074944.5</v>
      </c>
      <c r="H104" s="113">
        <f t="shared" si="27"/>
        <v>340642.86805814883</v>
      </c>
      <c r="I104" s="122">
        <f t="shared" si="28"/>
        <v>340642.86805814883</v>
      </c>
      <c r="J104" s="54">
        <f t="shared" si="22"/>
        <v>0</v>
      </c>
      <c r="K104" s="54"/>
      <c r="L104" s="115"/>
      <c r="M104" s="54">
        <f t="shared" si="16"/>
        <v>0</v>
      </c>
      <c r="N104" s="115"/>
      <c r="O104" s="54">
        <f t="shared" si="18"/>
        <v>0</v>
      </c>
      <c r="P104" s="54">
        <f t="shared" si="19"/>
        <v>0</v>
      </c>
    </row>
    <row r="105" spans="1:16" ht="12.5">
      <c r="B105" s="7" t="str">
        <f t="shared" si="23"/>
        <v/>
      </c>
      <c r="C105" s="50">
        <f>IF(D93="","-",+C104+1)</f>
        <v>2030</v>
      </c>
      <c r="D105" s="460">
        <f>IF(F104+SUM(E$99:E104)=D$92,F104,D$92-SUM(E$99:E104))</f>
        <v>2043975</v>
      </c>
      <c r="E105" s="56">
        <f t="shared" si="24"/>
        <v>61939</v>
      </c>
      <c r="F105" s="461">
        <f t="shared" si="25"/>
        <v>1982036</v>
      </c>
      <c r="G105" s="461">
        <f t="shared" si="26"/>
        <v>2013005.5</v>
      </c>
      <c r="H105" s="113">
        <f t="shared" si="27"/>
        <v>332323.30149448715</v>
      </c>
      <c r="I105" s="122">
        <f t="shared" si="28"/>
        <v>332323.30149448715</v>
      </c>
      <c r="J105" s="54">
        <f t="shared" si="22"/>
        <v>0</v>
      </c>
      <c r="K105" s="54"/>
      <c r="L105" s="115"/>
      <c r="M105" s="54">
        <f t="shared" si="16"/>
        <v>0</v>
      </c>
      <c r="N105" s="115"/>
      <c r="O105" s="54">
        <f t="shared" si="18"/>
        <v>0</v>
      </c>
      <c r="P105" s="54">
        <f t="shared" si="19"/>
        <v>0</v>
      </c>
    </row>
    <row r="106" spans="1:16" ht="12.5">
      <c r="B106" s="7" t="str">
        <f t="shared" si="23"/>
        <v/>
      </c>
      <c r="C106" s="50">
        <f>IF(D93="","-",+C105+1)</f>
        <v>2031</v>
      </c>
      <c r="D106" s="460">
        <f>IF(F105+SUM(E$99:E105)=D$92,F105,D$92-SUM(E$99:E105))</f>
        <v>1982036</v>
      </c>
      <c r="E106" s="56">
        <f t="shared" si="24"/>
        <v>61939</v>
      </c>
      <c r="F106" s="461">
        <f t="shared" si="25"/>
        <v>1920097</v>
      </c>
      <c r="G106" s="461">
        <f t="shared" si="26"/>
        <v>1951066.5</v>
      </c>
      <c r="H106" s="113">
        <f t="shared" si="27"/>
        <v>324003.73493082548</v>
      </c>
      <c r="I106" s="122">
        <f t="shared" si="28"/>
        <v>324003.73493082548</v>
      </c>
      <c r="J106" s="54">
        <f t="shared" si="22"/>
        <v>0</v>
      </c>
      <c r="K106" s="54"/>
      <c r="L106" s="115"/>
      <c r="M106" s="54">
        <f t="shared" si="16"/>
        <v>0</v>
      </c>
      <c r="N106" s="115"/>
      <c r="O106" s="54">
        <f t="shared" si="18"/>
        <v>0</v>
      </c>
      <c r="P106" s="54">
        <f t="shared" si="19"/>
        <v>0</v>
      </c>
    </row>
    <row r="107" spans="1:16" ht="12.5">
      <c r="B107" s="7" t="str">
        <f t="shared" si="23"/>
        <v/>
      </c>
      <c r="C107" s="50">
        <f>IF(D93="","-",+C106+1)</f>
        <v>2032</v>
      </c>
      <c r="D107" s="460">
        <f>IF(F106+SUM(E$99:E106)=D$92,F106,D$92-SUM(E$99:E106))</f>
        <v>1920097</v>
      </c>
      <c r="E107" s="56">
        <f t="shared" si="24"/>
        <v>61939</v>
      </c>
      <c r="F107" s="461">
        <f t="shared" si="25"/>
        <v>1858158</v>
      </c>
      <c r="G107" s="461">
        <f t="shared" si="26"/>
        <v>1889127.5</v>
      </c>
      <c r="H107" s="113">
        <f t="shared" si="27"/>
        <v>315684.1683671638</v>
      </c>
      <c r="I107" s="122">
        <f t="shared" si="28"/>
        <v>315684.1683671638</v>
      </c>
      <c r="J107" s="54">
        <f t="shared" si="22"/>
        <v>0</v>
      </c>
      <c r="K107" s="54"/>
      <c r="L107" s="115"/>
      <c r="M107" s="54">
        <f t="shared" si="16"/>
        <v>0</v>
      </c>
      <c r="N107" s="115"/>
      <c r="O107" s="54">
        <f t="shared" si="18"/>
        <v>0</v>
      </c>
      <c r="P107" s="54">
        <f t="shared" si="19"/>
        <v>0</v>
      </c>
    </row>
    <row r="108" spans="1:16" ht="12.5">
      <c r="B108" s="7" t="str">
        <f t="shared" si="23"/>
        <v/>
      </c>
      <c r="C108" s="50">
        <f>IF(D93="","-",+C107+1)</f>
        <v>2033</v>
      </c>
      <c r="D108" s="12">
        <f>IF(F107+SUM(E$99:E107)=D$92,F107,D$92-SUM(E$99:E107))</f>
        <v>1858158</v>
      </c>
      <c r="E108" s="56">
        <f t="shared" ref="E108:E154" si="29">IF(+J$96&lt;F107,J$96,D108)</f>
        <v>61939</v>
      </c>
      <c r="F108" s="55">
        <f t="shared" ref="F108:F154" si="30">+D108-E108</f>
        <v>1796219</v>
      </c>
      <c r="G108" s="55">
        <f t="shared" ref="G108:G154" si="31">+(F108+D108)/2</f>
        <v>1827188.5</v>
      </c>
      <c r="H108" s="113">
        <f t="shared" ref="H108:H154" si="32">+J$94*G108+E108</f>
        <v>307364.60180350213</v>
      </c>
      <c r="I108" s="122">
        <f t="shared" ref="I108:I154" si="33">+J$95*G108+E108</f>
        <v>307364.60180350213</v>
      </c>
      <c r="J108" s="54">
        <f t="shared" si="22"/>
        <v>0</v>
      </c>
      <c r="K108" s="54"/>
      <c r="L108" s="115"/>
      <c r="M108" s="54">
        <f t="shared" ref="M108:M130" si="34">IF(L108&lt;&gt;0,+H108-L108,0)</f>
        <v>0</v>
      </c>
      <c r="N108" s="115"/>
      <c r="O108" s="54">
        <f t="shared" ref="O108:O130" si="35">IF(N108&lt;&gt;0,+I108-N108,0)</f>
        <v>0</v>
      </c>
      <c r="P108" s="54">
        <f t="shared" ref="P108:P130" si="36">+O108-M108</f>
        <v>0</v>
      </c>
    </row>
    <row r="109" spans="1:16" ht="12.5">
      <c r="B109" s="7" t="str">
        <f t="shared" si="23"/>
        <v/>
      </c>
      <c r="C109" s="50">
        <f>IF(D93="","-",+C108+1)</f>
        <v>2034</v>
      </c>
      <c r="D109" s="12">
        <f>IF(F108+SUM(E$99:E108)=D$92,F108,D$92-SUM(E$99:E108))</f>
        <v>1796219</v>
      </c>
      <c r="E109" s="56">
        <f t="shared" si="29"/>
        <v>61939</v>
      </c>
      <c r="F109" s="55">
        <f t="shared" si="30"/>
        <v>1734280</v>
      </c>
      <c r="G109" s="55">
        <f t="shared" si="31"/>
        <v>1765249.5</v>
      </c>
      <c r="H109" s="113">
        <f t="shared" si="32"/>
        <v>299045.03523984051</v>
      </c>
      <c r="I109" s="122">
        <f t="shared" si="33"/>
        <v>299045.03523984051</v>
      </c>
      <c r="J109" s="54">
        <f t="shared" si="22"/>
        <v>0</v>
      </c>
      <c r="K109" s="54"/>
      <c r="L109" s="115"/>
      <c r="M109" s="54">
        <f t="shared" si="34"/>
        <v>0</v>
      </c>
      <c r="N109" s="115"/>
      <c r="O109" s="54">
        <f t="shared" si="35"/>
        <v>0</v>
      </c>
      <c r="P109" s="54">
        <f t="shared" si="36"/>
        <v>0</v>
      </c>
    </row>
    <row r="110" spans="1:16" ht="12.5">
      <c r="B110" s="7" t="str">
        <f t="shared" si="23"/>
        <v/>
      </c>
      <c r="C110" s="50">
        <f>IF(D93="","-",+C109+1)</f>
        <v>2035</v>
      </c>
      <c r="D110" s="12">
        <f>IF(F109+SUM(E$99:E109)=D$92,F109,D$92-SUM(E$99:E109))</f>
        <v>1734280</v>
      </c>
      <c r="E110" s="56">
        <f t="shared" si="29"/>
        <v>61939</v>
      </c>
      <c r="F110" s="55">
        <f t="shared" si="30"/>
        <v>1672341</v>
      </c>
      <c r="G110" s="55">
        <f t="shared" si="31"/>
        <v>1703310.5</v>
      </c>
      <c r="H110" s="113">
        <f t="shared" si="32"/>
        <v>290725.46867617883</v>
      </c>
      <c r="I110" s="122">
        <f t="shared" si="33"/>
        <v>290725.46867617883</v>
      </c>
      <c r="J110" s="54">
        <f t="shared" si="22"/>
        <v>0</v>
      </c>
      <c r="K110" s="54"/>
      <c r="L110" s="115"/>
      <c r="M110" s="54">
        <f t="shared" si="34"/>
        <v>0</v>
      </c>
      <c r="N110" s="115"/>
      <c r="O110" s="54">
        <f t="shared" si="35"/>
        <v>0</v>
      </c>
      <c r="P110" s="54">
        <f t="shared" si="36"/>
        <v>0</v>
      </c>
    </row>
    <row r="111" spans="1:16" ht="12.5">
      <c r="B111" s="7" t="str">
        <f t="shared" si="23"/>
        <v/>
      </c>
      <c r="C111" s="50">
        <f>IF(D93="","-",+C110+1)</f>
        <v>2036</v>
      </c>
      <c r="D111" s="12">
        <f>IF(F110+SUM(E$99:E110)=D$92,F110,D$92-SUM(E$99:E110))</f>
        <v>1672341</v>
      </c>
      <c r="E111" s="56">
        <f t="shared" si="29"/>
        <v>61939</v>
      </c>
      <c r="F111" s="55">
        <f t="shared" si="30"/>
        <v>1610402</v>
      </c>
      <c r="G111" s="55">
        <f t="shared" si="31"/>
        <v>1641371.5</v>
      </c>
      <c r="H111" s="113">
        <f t="shared" si="32"/>
        <v>282405.90211251716</v>
      </c>
      <c r="I111" s="122">
        <f t="shared" si="33"/>
        <v>282405.90211251716</v>
      </c>
      <c r="J111" s="54">
        <f t="shared" si="22"/>
        <v>0</v>
      </c>
      <c r="K111" s="54"/>
      <c r="L111" s="115"/>
      <c r="M111" s="54">
        <f t="shared" si="34"/>
        <v>0</v>
      </c>
      <c r="N111" s="115"/>
      <c r="O111" s="54">
        <f t="shared" si="35"/>
        <v>0</v>
      </c>
      <c r="P111" s="54">
        <f t="shared" si="36"/>
        <v>0</v>
      </c>
    </row>
    <row r="112" spans="1:16" ht="12.5">
      <c r="B112" s="7" t="str">
        <f t="shared" si="23"/>
        <v/>
      </c>
      <c r="C112" s="50">
        <f>IF(D93="","-",+C111+1)</f>
        <v>2037</v>
      </c>
      <c r="D112" s="12">
        <f>IF(F111+SUM(E$99:E111)=D$92,F111,D$92-SUM(E$99:E111))</f>
        <v>1610402</v>
      </c>
      <c r="E112" s="56">
        <f t="shared" si="29"/>
        <v>61939</v>
      </c>
      <c r="F112" s="55">
        <f t="shared" si="30"/>
        <v>1548463</v>
      </c>
      <c r="G112" s="55">
        <f t="shared" si="31"/>
        <v>1579432.5</v>
      </c>
      <c r="H112" s="113">
        <f t="shared" si="32"/>
        <v>274086.33554885548</v>
      </c>
      <c r="I112" s="122">
        <f t="shared" si="33"/>
        <v>274086.33554885548</v>
      </c>
      <c r="J112" s="54">
        <f t="shared" si="22"/>
        <v>0</v>
      </c>
      <c r="K112" s="54"/>
      <c r="L112" s="115"/>
      <c r="M112" s="54">
        <f t="shared" si="34"/>
        <v>0</v>
      </c>
      <c r="N112" s="115"/>
      <c r="O112" s="54">
        <f t="shared" si="35"/>
        <v>0</v>
      </c>
      <c r="P112" s="54">
        <f t="shared" si="36"/>
        <v>0</v>
      </c>
    </row>
    <row r="113" spans="2:16" ht="12.5">
      <c r="B113" s="7" t="str">
        <f t="shared" si="23"/>
        <v/>
      </c>
      <c r="C113" s="50">
        <f>IF(D93="","-",+C112+1)</f>
        <v>2038</v>
      </c>
      <c r="D113" s="12">
        <f>IF(F112+SUM(E$99:E112)=D$92,F112,D$92-SUM(E$99:E112))</f>
        <v>1548463</v>
      </c>
      <c r="E113" s="56">
        <f t="shared" si="29"/>
        <v>61939</v>
      </c>
      <c r="F113" s="55">
        <f t="shared" si="30"/>
        <v>1486524</v>
      </c>
      <c r="G113" s="55">
        <f t="shared" si="31"/>
        <v>1517493.5</v>
      </c>
      <c r="H113" s="113">
        <f t="shared" si="32"/>
        <v>265766.7689851938</v>
      </c>
      <c r="I113" s="122">
        <f t="shared" si="33"/>
        <v>265766.7689851938</v>
      </c>
      <c r="J113" s="54">
        <f t="shared" si="22"/>
        <v>0</v>
      </c>
      <c r="K113" s="54"/>
      <c r="L113" s="115"/>
      <c r="M113" s="54">
        <f t="shared" si="34"/>
        <v>0</v>
      </c>
      <c r="N113" s="115"/>
      <c r="O113" s="54">
        <f t="shared" si="35"/>
        <v>0</v>
      </c>
      <c r="P113" s="54">
        <f t="shared" si="36"/>
        <v>0</v>
      </c>
    </row>
    <row r="114" spans="2:16" ht="12.5">
      <c r="B114" s="7" t="str">
        <f t="shared" si="23"/>
        <v/>
      </c>
      <c r="C114" s="50">
        <f>IF(D93="","-",+C113+1)</f>
        <v>2039</v>
      </c>
      <c r="D114" s="12">
        <f>IF(F113+SUM(E$99:E113)=D$92,F113,D$92-SUM(E$99:E113))</f>
        <v>1486524</v>
      </c>
      <c r="E114" s="56">
        <f t="shared" si="29"/>
        <v>61939</v>
      </c>
      <c r="F114" s="55">
        <f t="shared" si="30"/>
        <v>1424585</v>
      </c>
      <c r="G114" s="55">
        <f t="shared" si="31"/>
        <v>1455554.5</v>
      </c>
      <c r="H114" s="113">
        <f t="shared" si="32"/>
        <v>257447.20242153213</v>
      </c>
      <c r="I114" s="122">
        <f t="shared" si="33"/>
        <v>257447.20242153213</v>
      </c>
      <c r="J114" s="54">
        <f t="shared" si="22"/>
        <v>0</v>
      </c>
      <c r="K114" s="54"/>
      <c r="L114" s="115"/>
      <c r="M114" s="54">
        <f t="shared" si="34"/>
        <v>0</v>
      </c>
      <c r="N114" s="115"/>
      <c r="O114" s="54">
        <f t="shared" si="35"/>
        <v>0</v>
      </c>
      <c r="P114" s="54">
        <f t="shared" si="36"/>
        <v>0</v>
      </c>
    </row>
    <row r="115" spans="2:16" ht="12.5">
      <c r="B115" s="7" t="str">
        <f t="shared" si="23"/>
        <v/>
      </c>
      <c r="C115" s="50">
        <f>IF(D93="","-",+C114+1)</f>
        <v>2040</v>
      </c>
      <c r="D115" s="12">
        <f>IF(F114+SUM(E$99:E114)=D$92,F114,D$92-SUM(E$99:E114))</f>
        <v>1424585</v>
      </c>
      <c r="E115" s="56">
        <f t="shared" si="29"/>
        <v>61939</v>
      </c>
      <c r="F115" s="55">
        <f t="shared" si="30"/>
        <v>1362646</v>
      </c>
      <c r="G115" s="55">
        <f t="shared" si="31"/>
        <v>1393615.5</v>
      </c>
      <c r="H115" s="113">
        <f t="shared" si="32"/>
        <v>249127.63585787045</v>
      </c>
      <c r="I115" s="122">
        <f t="shared" si="33"/>
        <v>249127.63585787045</v>
      </c>
      <c r="J115" s="54">
        <f t="shared" si="22"/>
        <v>0</v>
      </c>
      <c r="K115" s="54"/>
      <c r="L115" s="115"/>
      <c r="M115" s="54">
        <f t="shared" si="34"/>
        <v>0</v>
      </c>
      <c r="N115" s="115"/>
      <c r="O115" s="54">
        <f t="shared" si="35"/>
        <v>0</v>
      </c>
      <c r="P115" s="54">
        <f t="shared" si="36"/>
        <v>0</v>
      </c>
    </row>
    <row r="116" spans="2:16" ht="12.5">
      <c r="B116" s="7" t="str">
        <f t="shared" si="23"/>
        <v/>
      </c>
      <c r="C116" s="50">
        <f>IF(D93="","-",+C115+1)</f>
        <v>2041</v>
      </c>
      <c r="D116" s="12">
        <f>IF(F115+SUM(E$99:E115)=D$92,F115,D$92-SUM(E$99:E115))</f>
        <v>1362646</v>
      </c>
      <c r="E116" s="56">
        <f t="shared" si="29"/>
        <v>61939</v>
      </c>
      <c r="F116" s="55">
        <f t="shared" si="30"/>
        <v>1300707</v>
      </c>
      <c r="G116" s="55">
        <f t="shared" si="31"/>
        <v>1331676.5</v>
      </c>
      <c r="H116" s="113">
        <f t="shared" si="32"/>
        <v>240808.06929420878</v>
      </c>
      <c r="I116" s="122">
        <f t="shared" si="33"/>
        <v>240808.06929420878</v>
      </c>
      <c r="J116" s="54">
        <f t="shared" si="22"/>
        <v>0</v>
      </c>
      <c r="K116" s="54"/>
      <c r="L116" s="115"/>
      <c r="M116" s="54">
        <f t="shared" si="34"/>
        <v>0</v>
      </c>
      <c r="N116" s="115"/>
      <c r="O116" s="54">
        <f t="shared" si="35"/>
        <v>0</v>
      </c>
      <c r="P116" s="54">
        <f t="shared" si="36"/>
        <v>0</v>
      </c>
    </row>
    <row r="117" spans="2:16" ht="12.5">
      <c r="B117" s="7" t="str">
        <f t="shared" si="23"/>
        <v/>
      </c>
      <c r="C117" s="50">
        <f>IF(D93="","-",+C116+1)</f>
        <v>2042</v>
      </c>
      <c r="D117" s="12">
        <f>IF(F116+SUM(E$99:E116)=D$92,F116,D$92-SUM(E$99:E116))</f>
        <v>1300707</v>
      </c>
      <c r="E117" s="56">
        <f t="shared" si="29"/>
        <v>61939</v>
      </c>
      <c r="F117" s="55">
        <f t="shared" si="30"/>
        <v>1238768</v>
      </c>
      <c r="G117" s="55">
        <f t="shared" si="31"/>
        <v>1269737.5</v>
      </c>
      <c r="H117" s="113">
        <f t="shared" si="32"/>
        <v>232488.50273054713</v>
      </c>
      <c r="I117" s="122">
        <f t="shared" si="33"/>
        <v>232488.50273054713</v>
      </c>
      <c r="J117" s="54">
        <f t="shared" si="22"/>
        <v>0</v>
      </c>
      <c r="K117" s="54"/>
      <c r="L117" s="115"/>
      <c r="M117" s="54">
        <f t="shared" si="34"/>
        <v>0</v>
      </c>
      <c r="N117" s="115"/>
      <c r="O117" s="54">
        <f t="shared" si="35"/>
        <v>0</v>
      </c>
      <c r="P117" s="54">
        <f t="shared" si="36"/>
        <v>0</v>
      </c>
    </row>
    <row r="118" spans="2:16" ht="12.5">
      <c r="B118" s="7" t="str">
        <f t="shared" si="23"/>
        <v/>
      </c>
      <c r="C118" s="50">
        <f>IF(D93="","-",+C117+1)</f>
        <v>2043</v>
      </c>
      <c r="D118" s="12">
        <f>IF(F117+SUM(E$99:E117)=D$92,F117,D$92-SUM(E$99:E117))</f>
        <v>1238768</v>
      </c>
      <c r="E118" s="56">
        <f t="shared" si="29"/>
        <v>61939</v>
      </c>
      <c r="F118" s="55">
        <f t="shared" si="30"/>
        <v>1176829</v>
      </c>
      <c r="G118" s="55">
        <f t="shared" si="31"/>
        <v>1207798.5</v>
      </c>
      <c r="H118" s="113">
        <f t="shared" si="32"/>
        <v>224168.93616688545</v>
      </c>
      <c r="I118" s="122">
        <f t="shared" si="33"/>
        <v>224168.93616688545</v>
      </c>
      <c r="J118" s="54">
        <f t="shared" si="22"/>
        <v>0</v>
      </c>
      <c r="K118" s="54"/>
      <c r="L118" s="115"/>
      <c r="M118" s="54">
        <f t="shared" si="34"/>
        <v>0</v>
      </c>
      <c r="N118" s="115"/>
      <c r="O118" s="54">
        <f t="shared" si="35"/>
        <v>0</v>
      </c>
      <c r="P118" s="54">
        <f t="shared" si="36"/>
        <v>0</v>
      </c>
    </row>
    <row r="119" spans="2:16" ht="12.5">
      <c r="B119" s="7" t="str">
        <f t="shared" si="23"/>
        <v/>
      </c>
      <c r="C119" s="50">
        <f>IF(D93="","-",+C118+1)</f>
        <v>2044</v>
      </c>
      <c r="D119" s="12">
        <f>IF(F118+SUM(E$99:E118)=D$92,F118,D$92-SUM(E$99:E118))</f>
        <v>1176829</v>
      </c>
      <c r="E119" s="56">
        <f t="shared" si="29"/>
        <v>61939</v>
      </c>
      <c r="F119" s="55">
        <f t="shared" si="30"/>
        <v>1114890</v>
      </c>
      <c r="G119" s="55">
        <f t="shared" si="31"/>
        <v>1145859.5</v>
      </c>
      <c r="H119" s="113">
        <f t="shared" si="32"/>
        <v>215849.36960322378</v>
      </c>
      <c r="I119" s="122">
        <f t="shared" si="33"/>
        <v>215849.36960322378</v>
      </c>
      <c r="J119" s="54">
        <f t="shared" si="22"/>
        <v>0</v>
      </c>
      <c r="K119" s="54"/>
      <c r="L119" s="115"/>
      <c r="M119" s="54">
        <f t="shared" si="34"/>
        <v>0</v>
      </c>
      <c r="N119" s="115"/>
      <c r="O119" s="54">
        <f t="shared" si="35"/>
        <v>0</v>
      </c>
      <c r="P119" s="54">
        <f t="shared" si="36"/>
        <v>0</v>
      </c>
    </row>
    <row r="120" spans="2:16" ht="12.5">
      <c r="B120" s="7" t="str">
        <f t="shared" si="23"/>
        <v/>
      </c>
      <c r="C120" s="50">
        <f>IF(D93="","-",+C119+1)</f>
        <v>2045</v>
      </c>
      <c r="D120" s="12">
        <f>IF(F119+SUM(E$99:E119)=D$92,F119,D$92-SUM(E$99:E119))</f>
        <v>1114890</v>
      </c>
      <c r="E120" s="56">
        <f t="shared" si="29"/>
        <v>61939</v>
      </c>
      <c r="F120" s="55">
        <f t="shared" si="30"/>
        <v>1052951</v>
      </c>
      <c r="G120" s="55">
        <f t="shared" si="31"/>
        <v>1083920.5</v>
      </c>
      <c r="H120" s="113">
        <f t="shared" si="32"/>
        <v>207529.8030395621</v>
      </c>
      <c r="I120" s="122">
        <f t="shared" si="33"/>
        <v>207529.8030395621</v>
      </c>
      <c r="J120" s="54">
        <f t="shared" si="22"/>
        <v>0</v>
      </c>
      <c r="K120" s="54"/>
      <c r="L120" s="115"/>
      <c r="M120" s="54">
        <f t="shared" si="34"/>
        <v>0</v>
      </c>
      <c r="N120" s="115"/>
      <c r="O120" s="54">
        <f t="shared" si="35"/>
        <v>0</v>
      </c>
      <c r="P120" s="54">
        <f t="shared" si="36"/>
        <v>0</v>
      </c>
    </row>
    <row r="121" spans="2:16" ht="12.5">
      <c r="B121" s="7" t="str">
        <f t="shared" si="23"/>
        <v/>
      </c>
      <c r="C121" s="50">
        <f>IF(D93="","-",+C120+1)</f>
        <v>2046</v>
      </c>
      <c r="D121" s="12">
        <f>IF(F120+SUM(E$99:E120)=D$92,F120,D$92-SUM(E$99:E120))</f>
        <v>1052951</v>
      </c>
      <c r="E121" s="56">
        <f t="shared" si="29"/>
        <v>61939</v>
      </c>
      <c r="F121" s="55">
        <f t="shared" si="30"/>
        <v>991012</v>
      </c>
      <c r="G121" s="55">
        <f t="shared" si="31"/>
        <v>1021981.5</v>
      </c>
      <c r="H121" s="113">
        <f t="shared" si="32"/>
        <v>199210.23647590046</v>
      </c>
      <c r="I121" s="122">
        <f t="shared" si="33"/>
        <v>199210.23647590046</v>
      </c>
      <c r="J121" s="54">
        <f t="shared" si="22"/>
        <v>0</v>
      </c>
      <c r="K121" s="54"/>
      <c r="L121" s="115"/>
      <c r="M121" s="54">
        <f t="shared" si="34"/>
        <v>0</v>
      </c>
      <c r="N121" s="115"/>
      <c r="O121" s="54">
        <f t="shared" si="35"/>
        <v>0</v>
      </c>
      <c r="P121" s="54">
        <f t="shared" si="36"/>
        <v>0</v>
      </c>
    </row>
    <row r="122" spans="2:16" ht="12.5">
      <c r="B122" s="7" t="str">
        <f t="shared" si="23"/>
        <v/>
      </c>
      <c r="C122" s="50">
        <f>IF(D93="","-",+C121+1)</f>
        <v>2047</v>
      </c>
      <c r="D122" s="12">
        <f>IF(F121+SUM(E$99:E121)=D$92,F121,D$92-SUM(E$99:E121))</f>
        <v>991012</v>
      </c>
      <c r="E122" s="56">
        <f t="shared" si="29"/>
        <v>61939</v>
      </c>
      <c r="F122" s="55">
        <f t="shared" si="30"/>
        <v>929073</v>
      </c>
      <c r="G122" s="55">
        <f t="shared" si="31"/>
        <v>960042.5</v>
      </c>
      <c r="H122" s="113">
        <f t="shared" si="32"/>
        <v>190890.66991223878</v>
      </c>
      <c r="I122" s="122">
        <f t="shared" si="33"/>
        <v>190890.66991223878</v>
      </c>
      <c r="J122" s="54">
        <f t="shared" si="22"/>
        <v>0</v>
      </c>
      <c r="K122" s="54"/>
      <c r="L122" s="115"/>
      <c r="M122" s="54">
        <f t="shared" si="34"/>
        <v>0</v>
      </c>
      <c r="N122" s="115"/>
      <c r="O122" s="54">
        <f t="shared" si="35"/>
        <v>0</v>
      </c>
      <c r="P122" s="54">
        <f t="shared" si="36"/>
        <v>0</v>
      </c>
    </row>
    <row r="123" spans="2:16" ht="12.5">
      <c r="B123" s="7" t="str">
        <f t="shared" si="23"/>
        <v/>
      </c>
      <c r="C123" s="50">
        <f>IF(D93="","-",+C122+1)</f>
        <v>2048</v>
      </c>
      <c r="D123" s="12">
        <f>IF(F122+SUM(E$99:E122)=D$92,F122,D$92-SUM(E$99:E122))</f>
        <v>929073</v>
      </c>
      <c r="E123" s="56">
        <f t="shared" si="29"/>
        <v>61939</v>
      </c>
      <c r="F123" s="55">
        <f t="shared" si="30"/>
        <v>867134</v>
      </c>
      <c r="G123" s="55">
        <f t="shared" si="31"/>
        <v>898103.5</v>
      </c>
      <c r="H123" s="113">
        <f t="shared" si="32"/>
        <v>182571.1033485771</v>
      </c>
      <c r="I123" s="122">
        <f t="shared" si="33"/>
        <v>182571.1033485771</v>
      </c>
      <c r="J123" s="54">
        <f t="shared" si="22"/>
        <v>0</v>
      </c>
      <c r="K123" s="54"/>
      <c r="L123" s="115"/>
      <c r="M123" s="54">
        <f t="shared" si="34"/>
        <v>0</v>
      </c>
      <c r="N123" s="115"/>
      <c r="O123" s="54">
        <f t="shared" si="35"/>
        <v>0</v>
      </c>
      <c r="P123" s="54">
        <f t="shared" si="36"/>
        <v>0</v>
      </c>
    </row>
    <row r="124" spans="2:16" ht="12.5">
      <c r="B124" s="7" t="str">
        <f t="shared" si="23"/>
        <v/>
      </c>
      <c r="C124" s="50">
        <f>IF(D93="","-",+C123+1)</f>
        <v>2049</v>
      </c>
      <c r="D124" s="12">
        <f>IF(F123+SUM(E$99:E123)=D$92,F123,D$92-SUM(E$99:E123))</f>
        <v>867134</v>
      </c>
      <c r="E124" s="56">
        <f t="shared" si="29"/>
        <v>61939</v>
      </c>
      <c r="F124" s="55">
        <f t="shared" si="30"/>
        <v>805195</v>
      </c>
      <c r="G124" s="55">
        <f t="shared" si="31"/>
        <v>836164.5</v>
      </c>
      <c r="H124" s="113">
        <f t="shared" si="32"/>
        <v>174251.53678491543</v>
      </c>
      <c r="I124" s="122">
        <f t="shared" si="33"/>
        <v>174251.53678491543</v>
      </c>
      <c r="J124" s="54">
        <f t="shared" si="22"/>
        <v>0</v>
      </c>
      <c r="K124" s="54"/>
      <c r="L124" s="115"/>
      <c r="M124" s="54">
        <f t="shared" si="34"/>
        <v>0</v>
      </c>
      <c r="N124" s="115"/>
      <c r="O124" s="54">
        <f t="shared" si="35"/>
        <v>0</v>
      </c>
      <c r="P124" s="54">
        <f t="shared" si="36"/>
        <v>0</v>
      </c>
    </row>
    <row r="125" spans="2:16" ht="12.5">
      <c r="B125" s="7" t="str">
        <f t="shared" si="23"/>
        <v/>
      </c>
      <c r="C125" s="50">
        <f>IF(D93="","-",+C124+1)</f>
        <v>2050</v>
      </c>
      <c r="D125" s="12">
        <f>IF(F124+SUM(E$99:E124)=D$92,F124,D$92-SUM(E$99:E124))</f>
        <v>805195</v>
      </c>
      <c r="E125" s="56">
        <f t="shared" si="29"/>
        <v>61939</v>
      </c>
      <c r="F125" s="55">
        <f t="shared" si="30"/>
        <v>743256</v>
      </c>
      <c r="G125" s="55">
        <f t="shared" si="31"/>
        <v>774225.5</v>
      </c>
      <c r="H125" s="113">
        <f t="shared" si="32"/>
        <v>165931.97022125375</v>
      </c>
      <c r="I125" s="122">
        <f t="shared" si="33"/>
        <v>165931.97022125375</v>
      </c>
      <c r="J125" s="54">
        <f t="shared" si="22"/>
        <v>0</v>
      </c>
      <c r="K125" s="54"/>
      <c r="L125" s="115"/>
      <c r="M125" s="54">
        <f t="shared" si="34"/>
        <v>0</v>
      </c>
      <c r="N125" s="115"/>
      <c r="O125" s="54">
        <f t="shared" si="35"/>
        <v>0</v>
      </c>
      <c r="P125" s="54">
        <f t="shared" si="36"/>
        <v>0</v>
      </c>
    </row>
    <row r="126" spans="2:16" ht="12.5">
      <c r="B126" s="7" t="str">
        <f t="shared" si="23"/>
        <v/>
      </c>
      <c r="C126" s="50">
        <f>IF(D93="","-",+C125+1)</f>
        <v>2051</v>
      </c>
      <c r="D126" s="12">
        <f>IF(F125+SUM(E$99:E125)=D$92,F125,D$92-SUM(E$99:E125))</f>
        <v>743256</v>
      </c>
      <c r="E126" s="56">
        <f t="shared" si="29"/>
        <v>61939</v>
      </c>
      <c r="F126" s="55">
        <f t="shared" si="30"/>
        <v>681317</v>
      </c>
      <c r="G126" s="55">
        <f t="shared" si="31"/>
        <v>712286.5</v>
      </c>
      <c r="H126" s="113">
        <f t="shared" si="32"/>
        <v>157612.40365759211</v>
      </c>
      <c r="I126" s="122">
        <f t="shared" si="33"/>
        <v>157612.40365759211</v>
      </c>
      <c r="J126" s="54">
        <f t="shared" si="22"/>
        <v>0</v>
      </c>
      <c r="K126" s="54"/>
      <c r="L126" s="115"/>
      <c r="M126" s="54">
        <f t="shared" si="34"/>
        <v>0</v>
      </c>
      <c r="N126" s="115"/>
      <c r="O126" s="54">
        <f t="shared" si="35"/>
        <v>0</v>
      </c>
      <c r="P126" s="54">
        <f t="shared" si="36"/>
        <v>0</v>
      </c>
    </row>
    <row r="127" spans="2:16" ht="12.5">
      <c r="B127" s="7" t="str">
        <f t="shared" si="23"/>
        <v/>
      </c>
      <c r="C127" s="50">
        <f>IF(D93="","-",+C126+1)</f>
        <v>2052</v>
      </c>
      <c r="D127" s="12">
        <f>IF(F126+SUM(E$99:E126)=D$92,F126,D$92-SUM(E$99:E126))</f>
        <v>681317</v>
      </c>
      <c r="E127" s="56">
        <f t="shared" si="29"/>
        <v>61939</v>
      </c>
      <c r="F127" s="55">
        <f t="shared" si="30"/>
        <v>619378</v>
      </c>
      <c r="G127" s="55">
        <f t="shared" si="31"/>
        <v>650347.5</v>
      </c>
      <c r="H127" s="113">
        <f t="shared" si="32"/>
        <v>149292.83709393043</v>
      </c>
      <c r="I127" s="122">
        <f t="shared" si="33"/>
        <v>149292.83709393043</v>
      </c>
      <c r="J127" s="54">
        <f t="shared" si="22"/>
        <v>0</v>
      </c>
      <c r="K127" s="54"/>
      <c r="L127" s="115"/>
      <c r="M127" s="54">
        <f t="shared" si="34"/>
        <v>0</v>
      </c>
      <c r="N127" s="115"/>
      <c r="O127" s="54">
        <f t="shared" si="35"/>
        <v>0</v>
      </c>
      <c r="P127" s="54">
        <f t="shared" si="36"/>
        <v>0</v>
      </c>
    </row>
    <row r="128" spans="2:16" ht="12.5">
      <c r="B128" s="7" t="str">
        <f t="shared" si="23"/>
        <v/>
      </c>
      <c r="C128" s="50">
        <f>IF(D93="","-",+C127+1)</f>
        <v>2053</v>
      </c>
      <c r="D128" s="12">
        <f>IF(F127+SUM(E$99:E127)=D$92,F127,D$92-SUM(E$99:E127))</f>
        <v>619378</v>
      </c>
      <c r="E128" s="56">
        <f t="shared" si="29"/>
        <v>61939</v>
      </c>
      <c r="F128" s="55">
        <f t="shared" si="30"/>
        <v>557439</v>
      </c>
      <c r="G128" s="55">
        <f t="shared" si="31"/>
        <v>588408.5</v>
      </c>
      <c r="H128" s="113">
        <f t="shared" si="32"/>
        <v>140973.27053026878</v>
      </c>
      <c r="I128" s="122">
        <f t="shared" si="33"/>
        <v>140973.27053026878</v>
      </c>
      <c r="J128" s="54">
        <f t="shared" si="22"/>
        <v>0</v>
      </c>
      <c r="K128" s="54"/>
      <c r="L128" s="115"/>
      <c r="M128" s="54">
        <f t="shared" si="34"/>
        <v>0</v>
      </c>
      <c r="N128" s="115"/>
      <c r="O128" s="54">
        <f t="shared" si="35"/>
        <v>0</v>
      </c>
      <c r="P128" s="54">
        <f t="shared" si="36"/>
        <v>0</v>
      </c>
    </row>
    <row r="129" spans="2:16" ht="12.5">
      <c r="B129" s="7" t="str">
        <f t="shared" si="23"/>
        <v/>
      </c>
      <c r="C129" s="50">
        <f>IF(D93="","-",+C128+1)</f>
        <v>2054</v>
      </c>
      <c r="D129" s="12">
        <f>IF(F128+SUM(E$99:E128)=D$92,F128,D$92-SUM(E$99:E128))</f>
        <v>557439</v>
      </c>
      <c r="E129" s="56">
        <f t="shared" si="29"/>
        <v>61939</v>
      </c>
      <c r="F129" s="55">
        <f t="shared" si="30"/>
        <v>495500</v>
      </c>
      <c r="G129" s="55">
        <f t="shared" si="31"/>
        <v>526469.5</v>
      </c>
      <c r="H129" s="113">
        <f t="shared" si="32"/>
        <v>132653.70396660711</v>
      </c>
      <c r="I129" s="122">
        <f t="shared" si="33"/>
        <v>132653.70396660711</v>
      </c>
      <c r="J129" s="54">
        <f t="shared" si="22"/>
        <v>0</v>
      </c>
      <c r="K129" s="54"/>
      <c r="L129" s="115"/>
      <c r="M129" s="54">
        <f t="shared" si="34"/>
        <v>0</v>
      </c>
      <c r="N129" s="115"/>
      <c r="O129" s="54">
        <f t="shared" si="35"/>
        <v>0</v>
      </c>
      <c r="P129" s="54">
        <f t="shared" si="36"/>
        <v>0</v>
      </c>
    </row>
    <row r="130" spans="2:16" ht="12.5">
      <c r="B130" s="7" t="str">
        <f t="shared" si="23"/>
        <v/>
      </c>
      <c r="C130" s="50">
        <f>IF(D93="","-",+C129+1)</f>
        <v>2055</v>
      </c>
      <c r="D130" s="12">
        <f>IF(F129+SUM(E$99:E129)=D$92,F129,D$92-SUM(E$99:E129))</f>
        <v>495500</v>
      </c>
      <c r="E130" s="56">
        <f t="shared" si="29"/>
        <v>61939</v>
      </c>
      <c r="F130" s="55">
        <f t="shared" si="30"/>
        <v>433561</v>
      </c>
      <c r="G130" s="55">
        <f t="shared" si="31"/>
        <v>464530.5</v>
      </c>
      <c r="H130" s="113">
        <f t="shared" si="32"/>
        <v>124334.13740294543</v>
      </c>
      <c r="I130" s="122">
        <f t="shared" si="33"/>
        <v>124334.13740294543</v>
      </c>
      <c r="J130" s="54">
        <f t="shared" si="22"/>
        <v>0</v>
      </c>
      <c r="K130" s="54"/>
      <c r="L130" s="115"/>
      <c r="M130" s="54">
        <f t="shared" si="34"/>
        <v>0</v>
      </c>
      <c r="N130" s="115"/>
      <c r="O130" s="54">
        <f t="shared" si="35"/>
        <v>0</v>
      </c>
      <c r="P130" s="54">
        <f t="shared" si="36"/>
        <v>0</v>
      </c>
    </row>
    <row r="131" spans="2:16" ht="12.5">
      <c r="B131" s="7" t="str">
        <f t="shared" si="23"/>
        <v/>
      </c>
      <c r="C131" s="50">
        <f>IF(D93="","-",+C130+1)</f>
        <v>2056</v>
      </c>
      <c r="D131" s="12">
        <f>IF(F130+SUM(E$99:E130)=D$92,F130,D$92-SUM(E$99:E130))</f>
        <v>433561</v>
      </c>
      <c r="E131" s="56">
        <f t="shared" si="29"/>
        <v>61939</v>
      </c>
      <c r="F131" s="55">
        <f t="shared" si="30"/>
        <v>371622</v>
      </c>
      <c r="G131" s="55">
        <f t="shared" si="31"/>
        <v>402591.5</v>
      </c>
      <c r="H131" s="113">
        <f t="shared" si="32"/>
        <v>116014.57083928376</v>
      </c>
      <c r="I131" s="122">
        <f t="shared" si="33"/>
        <v>116014.57083928376</v>
      </c>
      <c r="J131" s="54">
        <f t="shared" ref="J131:J154" si="37">+I540-H540</f>
        <v>0</v>
      </c>
      <c r="K131" s="54"/>
      <c r="L131" s="115"/>
      <c r="M131" s="54">
        <f t="shared" ref="M131:M154" si="38">IF(L540&lt;&gt;0,+H540-L540,0)</f>
        <v>0</v>
      </c>
      <c r="N131" s="115"/>
      <c r="O131" s="54">
        <f t="shared" ref="O131:O154" si="39">IF(N540&lt;&gt;0,+I540-N540,0)</f>
        <v>0</v>
      </c>
      <c r="P131" s="54">
        <f t="shared" ref="P131:P154" si="40">+O540-M540</f>
        <v>0</v>
      </c>
    </row>
    <row r="132" spans="2:16" ht="12.5">
      <c r="B132" s="7" t="str">
        <f t="shared" si="23"/>
        <v/>
      </c>
      <c r="C132" s="50">
        <f>IF(D93="","-",+C131+1)</f>
        <v>2057</v>
      </c>
      <c r="D132" s="12">
        <f>IF(F131+SUM(E$99:E131)=D$92,F131,D$92-SUM(E$99:E131))</f>
        <v>371622</v>
      </c>
      <c r="E132" s="56">
        <f t="shared" si="29"/>
        <v>61939</v>
      </c>
      <c r="F132" s="55">
        <f t="shared" si="30"/>
        <v>309683</v>
      </c>
      <c r="G132" s="55">
        <f t="shared" si="31"/>
        <v>340652.5</v>
      </c>
      <c r="H132" s="113">
        <f t="shared" si="32"/>
        <v>107695.00427562208</v>
      </c>
      <c r="I132" s="122">
        <f t="shared" si="33"/>
        <v>107695.00427562208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 ht="12.5">
      <c r="B133" s="7" t="str">
        <f t="shared" si="23"/>
        <v/>
      </c>
      <c r="C133" s="50">
        <f>IF(D93="","-",+C132+1)</f>
        <v>2058</v>
      </c>
      <c r="D133" s="12">
        <f>IF(F132+SUM(E$99:E132)=D$92,F132,D$92-SUM(E$99:E132))</f>
        <v>309683</v>
      </c>
      <c r="E133" s="56">
        <f t="shared" si="29"/>
        <v>61939</v>
      </c>
      <c r="F133" s="55">
        <f t="shared" si="30"/>
        <v>247744</v>
      </c>
      <c r="G133" s="55">
        <f t="shared" si="31"/>
        <v>278713.5</v>
      </c>
      <c r="H133" s="113">
        <f t="shared" si="32"/>
        <v>99375.437711960418</v>
      </c>
      <c r="I133" s="122">
        <f t="shared" si="33"/>
        <v>99375.437711960418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 ht="12.5">
      <c r="B134" s="7" t="str">
        <f t="shared" si="23"/>
        <v/>
      </c>
      <c r="C134" s="50">
        <f>IF(D93="","-",+C133+1)</f>
        <v>2059</v>
      </c>
      <c r="D134" s="12">
        <f>IF(F133+SUM(E$99:E133)=D$92,F133,D$92-SUM(E$99:E133))</f>
        <v>247744</v>
      </c>
      <c r="E134" s="56">
        <f t="shared" si="29"/>
        <v>61939</v>
      </c>
      <c r="F134" s="55">
        <f t="shared" si="30"/>
        <v>185805</v>
      </c>
      <c r="G134" s="55">
        <f t="shared" si="31"/>
        <v>216774.5</v>
      </c>
      <c r="H134" s="113">
        <f t="shared" si="32"/>
        <v>91055.871148298756</v>
      </c>
      <c r="I134" s="122">
        <f t="shared" si="33"/>
        <v>91055.871148298756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 ht="12.5">
      <c r="B135" s="7" t="str">
        <f t="shared" si="23"/>
        <v/>
      </c>
      <c r="C135" s="50">
        <f>IF(D93="","-",+C134+1)</f>
        <v>2060</v>
      </c>
      <c r="D135" s="12">
        <f>IF(F134+SUM(E$99:E134)=D$92,F134,D$92-SUM(E$99:E134))</f>
        <v>185805</v>
      </c>
      <c r="E135" s="56">
        <f t="shared" si="29"/>
        <v>61939</v>
      </c>
      <c r="F135" s="55">
        <f t="shared" si="30"/>
        <v>123866</v>
      </c>
      <c r="G135" s="55">
        <f t="shared" si="31"/>
        <v>154835.5</v>
      </c>
      <c r="H135" s="113">
        <f t="shared" si="32"/>
        <v>82736.304584637081</v>
      </c>
      <c r="I135" s="122">
        <f t="shared" si="33"/>
        <v>82736.304584637081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 ht="12.5">
      <c r="B136" s="7" t="str">
        <f t="shared" si="23"/>
        <v/>
      </c>
      <c r="C136" s="50">
        <f>IF(D93="","-",+C135+1)</f>
        <v>2061</v>
      </c>
      <c r="D136" s="12">
        <f>IF(F135+SUM(E$99:E135)=D$92,F135,D$92-SUM(E$99:E135))</f>
        <v>123866</v>
      </c>
      <c r="E136" s="56">
        <f t="shared" si="29"/>
        <v>61939</v>
      </c>
      <c r="F136" s="55">
        <f t="shared" si="30"/>
        <v>61927</v>
      </c>
      <c r="G136" s="55">
        <f t="shared" si="31"/>
        <v>92896.5</v>
      </c>
      <c r="H136" s="113">
        <f t="shared" si="32"/>
        <v>74416.738020975419</v>
      </c>
      <c r="I136" s="122">
        <f t="shared" si="33"/>
        <v>74416.738020975419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 ht="12.5">
      <c r="B137" s="7" t="str">
        <f t="shared" si="23"/>
        <v/>
      </c>
      <c r="C137" s="50">
        <f>IF(D93="","-",+C136+1)</f>
        <v>2062</v>
      </c>
      <c r="D137" s="12">
        <f>IF(F136+SUM(E$99:E136)=D$92,F136,D$92-SUM(E$99:E136))</f>
        <v>61927</v>
      </c>
      <c r="E137" s="56">
        <f t="shared" si="29"/>
        <v>61927</v>
      </c>
      <c r="F137" s="55">
        <f t="shared" si="30"/>
        <v>0</v>
      </c>
      <c r="G137" s="55">
        <f t="shared" si="31"/>
        <v>30963.5</v>
      </c>
      <c r="H137" s="113">
        <f t="shared" si="32"/>
        <v>66085.977369572283</v>
      </c>
      <c r="I137" s="122">
        <f t="shared" si="33"/>
        <v>66085.977369572283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 ht="12.5">
      <c r="B138" s="7" t="str">
        <f t="shared" si="23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29"/>
        <v>0</v>
      </c>
      <c r="F138" s="55">
        <f t="shared" si="30"/>
        <v>0</v>
      </c>
      <c r="G138" s="55">
        <f t="shared" si="31"/>
        <v>0</v>
      </c>
      <c r="H138" s="113">
        <f t="shared" si="32"/>
        <v>0</v>
      </c>
      <c r="I138" s="122">
        <f t="shared" si="33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 ht="12.5">
      <c r="B139" s="7" t="str">
        <f t="shared" si="23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29"/>
        <v>0</v>
      </c>
      <c r="F139" s="55">
        <f t="shared" si="30"/>
        <v>0</v>
      </c>
      <c r="G139" s="55">
        <f t="shared" si="31"/>
        <v>0</v>
      </c>
      <c r="H139" s="113">
        <f t="shared" si="32"/>
        <v>0</v>
      </c>
      <c r="I139" s="122">
        <f t="shared" si="33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 ht="12.5">
      <c r="B140" s="7" t="str">
        <f t="shared" si="23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29"/>
        <v>0</v>
      </c>
      <c r="F140" s="55">
        <f t="shared" si="30"/>
        <v>0</v>
      </c>
      <c r="G140" s="55">
        <f t="shared" si="31"/>
        <v>0</v>
      </c>
      <c r="H140" s="113">
        <f t="shared" si="32"/>
        <v>0</v>
      </c>
      <c r="I140" s="122">
        <f t="shared" si="33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 ht="12.5">
      <c r="B141" s="7" t="str">
        <f t="shared" si="23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29"/>
        <v>0</v>
      </c>
      <c r="F141" s="55">
        <f t="shared" si="30"/>
        <v>0</v>
      </c>
      <c r="G141" s="55">
        <f t="shared" si="31"/>
        <v>0</v>
      </c>
      <c r="H141" s="113">
        <f t="shared" si="32"/>
        <v>0</v>
      </c>
      <c r="I141" s="122">
        <f t="shared" si="33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 ht="12.5">
      <c r="B142" s="7" t="str">
        <f t="shared" si="23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29"/>
        <v>0</v>
      </c>
      <c r="F142" s="55">
        <f t="shared" si="30"/>
        <v>0</v>
      </c>
      <c r="G142" s="55">
        <f t="shared" si="31"/>
        <v>0</v>
      </c>
      <c r="H142" s="113">
        <f t="shared" si="32"/>
        <v>0</v>
      </c>
      <c r="I142" s="122">
        <f t="shared" si="33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 ht="12.5">
      <c r="B143" s="7" t="str">
        <f t="shared" si="23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29"/>
        <v>0</v>
      </c>
      <c r="F143" s="55">
        <f t="shared" si="30"/>
        <v>0</v>
      </c>
      <c r="G143" s="55">
        <f t="shared" si="31"/>
        <v>0</v>
      </c>
      <c r="H143" s="113">
        <f t="shared" si="32"/>
        <v>0</v>
      </c>
      <c r="I143" s="122">
        <f t="shared" si="33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 ht="12.5">
      <c r="B144" s="7" t="str">
        <f t="shared" si="23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29"/>
        <v>0</v>
      </c>
      <c r="F144" s="55">
        <f t="shared" si="30"/>
        <v>0</v>
      </c>
      <c r="G144" s="55">
        <f t="shared" si="31"/>
        <v>0</v>
      </c>
      <c r="H144" s="113">
        <f t="shared" si="32"/>
        <v>0</v>
      </c>
      <c r="I144" s="122">
        <f t="shared" si="33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 ht="12.5">
      <c r="B145" s="7" t="str">
        <f t="shared" si="23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29"/>
        <v>0</v>
      </c>
      <c r="F145" s="55">
        <f t="shared" si="30"/>
        <v>0</v>
      </c>
      <c r="G145" s="55">
        <f t="shared" si="31"/>
        <v>0</v>
      </c>
      <c r="H145" s="113">
        <f t="shared" si="32"/>
        <v>0</v>
      </c>
      <c r="I145" s="122">
        <f t="shared" si="33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 ht="12.5">
      <c r="B146" s="7" t="str">
        <f t="shared" si="23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29"/>
        <v>0</v>
      </c>
      <c r="F146" s="55">
        <f t="shared" si="30"/>
        <v>0</v>
      </c>
      <c r="G146" s="55">
        <f t="shared" si="31"/>
        <v>0</v>
      </c>
      <c r="H146" s="113">
        <f t="shared" si="32"/>
        <v>0</v>
      </c>
      <c r="I146" s="122">
        <f t="shared" si="33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 ht="12.5">
      <c r="B147" s="7" t="str">
        <f t="shared" si="23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29"/>
        <v>0</v>
      </c>
      <c r="F147" s="55">
        <f t="shared" si="30"/>
        <v>0</v>
      </c>
      <c r="G147" s="55">
        <f t="shared" si="31"/>
        <v>0</v>
      </c>
      <c r="H147" s="113">
        <f t="shared" si="32"/>
        <v>0</v>
      </c>
      <c r="I147" s="122">
        <f t="shared" si="33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 ht="12.5">
      <c r="B148" s="7" t="str">
        <f t="shared" si="23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29"/>
        <v>0</v>
      </c>
      <c r="F148" s="55">
        <f t="shared" si="30"/>
        <v>0</v>
      </c>
      <c r="G148" s="55">
        <f t="shared" si="31"/>
        <v>0</v>
      </c>
      <c r="H148" s="113">
        <f t="shared" si="32"/>
        <v>0</v>
      </c>
      <c r="I148" s="122">
        <f t="shared" si="33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 ht="12.5">
      <c r="B149" s="7" t="str">
        <f t="shared" si="23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29"/>
        <v>0</v>
      </c>
      <c r="F149" s="55">
        <f t="shared" si="30"/>
        <v>0</v>
      </c>
      <c r="G149" s="55">
        <f t="shared" si="31"/>
        <v>0</v>
      </c>
      <c r="H149" s="113">
        <f t="shared" si="32"/>
        <v>0</v>
      </c>
      <c r="I149" s="122">
        <f t="shared" si="33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 ht="12.5">
      <c r="B150" s="7" t="str">
        <f t="shared" si="23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29"/>
        <v>0</v>
      </c>
      <c r="F150" s="55">
        <f t="shared" si="30"/>
        <v>0</v>
      </c>
      <c r="G150" s="55">
        <f t="shared" si="31"/>
        <v>0</v>
      </c>
      <c r="H150" s="113">
        <f t="shared" si="32"/>
        <v>0</v>
      </c>
      <c r="I150" s="122">
        <f t="shared" si="33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 ht="12.5">
      <c r="B151" s="7" t="str">
        <f t="shared" si="23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29"/>
        <v>0</v>
      </c>
      <c r="F151" s="55">
        <f t="shared" si="30"/>
        <v>0</v>
      </c>
      <c r="G151" s="55">
        <f t="shared" si="31"/>
        <v>0</v>
      </c>
      <c r="H151" s="113">
        <f t="shared" si="32"/>
        <v>0</v>
      </c>
      <c r="I151" s="122">
        <f t="shared" si="33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 ht="12.5">
      <c r="B152" s="7" t="str">
        <f t="shared" si="23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29"/>
        <v>0</v>
      </c>
      <c r="F152" s="55">
        <f t="shared" si="30"/>
        <v>0</v>
      </c>
      <c r="G152" s="55">
        <f t="shared" si="31"/>
        <v>0</v>
      </c>
      <c r="H152" s="113">
        <f t="shared" si="32"/>
        <v>0</v>
      </c>
      <c r="I152" s="122">
        <f t="shared" si="33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 ht="12.5">
      <c r="B153" s="7" t="str">
        <f t="shared" si="23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29"/>
        <v>0</v>
      </c>
      <c r="F153" s="55">
        <f t="shared" si="30"/>
        <v>0</v>
      </c>
      <c r="G153" s="55">
        <f t="shared" si="31"/>
        <v>0</v>
      </c>
      <c r="H153" s="113">
        <f t="shared" si="32"/>
        <v>0</v>
      </c>
      <c r="I153" s="122">
        <f t="shared" si="33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3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29"/>
        <v>0</v>
      </c>
      <c r="F154" s="59">
        <f t="shared" si="30"/>
        <v>0</v>
      </c>
      <c r="G154" s="59">
        <f t="shared" si="31"/>
        <v>0</v>
      </c>
      <c r="H154" s="123">
        <f t="shared" si="32"/>
        <v>0</v>
      </c>
      <c r="I154" s="124">
        <f t="shared" si="33"/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 ht="12.5">
      <c r="C155" s="12" t="s">
        <v>77</v>
      </c>
      <c r="D155" s="14"/>
      <c r="E155" s="14">
        <f>SUM(E99:E154)</f>
        <v>2353670</v>
      </c>
      <c r="F155" s="14"/>
      <c r="G155" s="14"/>
      <c r="H155" s="14">
        <f>SUM(H99:H154)</f>
        <v>8518407.5736700557</v>
      </c>
      <c r="I155" s="14">
        <f>SUM(I99:I154)</f>
        <v>8518407.5736700557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5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17D71-392B-4D0C-B360-C666C25EC75F}">
  <dimension ref="A1:V162"/>
  <sheetViews>
    <sheetView topLeftCell="A62"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36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636671.74185337557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636671.74185337557</v>
      </c>
      <c r="O6" s="1"/>
      <c r="P6" s="1"/>
    </row>
    <row r="7" spans="1:16" ht="13.5" thickBot="1">
      <c r="C7" s="26" t="s">
        <v>46</v>
      </c>
      <c r="D7" s="88" t="s">
        <v>427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429</v>
      </c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8956250.5596278533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235690.80420073299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2026</v>
      </c>
      <c r="D17" s="12">
        <v>0</v>
      </c>
      <c r="E17" s="51">
        <f>IF(D10&gt;=100000,I$14/12*(12-D12),0)</f>
        <v>117845.40210036648</v>
      </c>
      <c r="F17" s="55">
        <f>IF(D11=C17,+D10-E17,+D17-E17)</f>
        <v>8838405.1575274877</v>
      </c>
      <c r="G17" s="51">
        <f>(D17+F17)/2*I$12+E17</f>
        <v>636671.74185337557</v>
      </c>
      <c r="H17" s="42">
        <f>+(D17+F17)/2*I$13+E17</f>
        <v>636671.74185337557</v>
      </c>
      <c r="I17" s="52">
        <f>H17-G17</f>
        <v>0</v>
      </c>
      <c r="J17" s="52"/>
      <c r="K17" s="117"/>
      <c r="L17" s="53">
        <f t="shared" ref="L17:L72" si="0">IF(K17&lt;&gt;0,+G17-K17,0)</f>
        <v>0</v>
      </c>
      <c r="M17" s="117"/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2027</v>
      </c>
      <c r="D18" s="55">
        <f>IF(F17+SUM(E$17:E17)=D$10,F17,D$10-SUM(E$17:E17))</f>
        <v>8838405.1575274877</v>
      </c>
      <c r="E18" s="56">
        <f>IF(+I$14&lt;F17,I$14,D18)</f>
        <v>235690.80420073299</v>
      </c>
      <c r="F18" s="55">
        <f>+D18-E18</f>
        <v>8602714.3533267546</v>
      </c>
      <c r="G18" s="57">
        <f>(D18+F18)/2*I$12+E18</f>
        <v>1259508.1146466711</v>
      </c>
      <c r="H18" s="42">
        <f>+(D18+F18)/2*I$13+E18</f>
        <v>1259508.1146466711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2028</v>
      </c>
      <c r="D19" s="55">
        <f>IF(F18+SUM(E$17:E18)=D$10,F18,D$10-SUM(E$17:E18))</f>
        <v>8602714.3533267546</v>
      </c>
      <c r="E19" s="56">
        <f t="shared" ref="E19:E71" si="3">IF(+I$14&lt;F18,I$14,D19)</f>
        <v>235690.80420073299</v>
      </c>
      <c r="F19" s="55">
        <f t="shared" ref="F19:F71" si="4">+D19-E19</f>
        <v>8367023.5491260216</v>
      </c>
      <c r="G19" s="57">
        <f t="shared" ref="G19:G71" si="5">(D19+F19)/2*I$12+E19</f>
        <v>1231837.3765265103</v>
      </c>
      <c r="H19" s="42">
        <f t="shared" ref="H19:H71" si="6">+(D19+F19)/2*I$13+E19</f>
        <v>1231837.3765265103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2029</v>
      </c>
      <c r="D20" s="55">
        <f>IF(F19+SUM(E$17:E19)=D$10,F19,D$10-SUM(E$17:E19))</f>
        <v>8367023.5491260216</v>
      </c>
      <c r="E20" s="56">
        <f t="shared" si="3"/>
        <v>235690.80420073299</v>
      </c>
      <c r="F20" s="55">
        <f t="shared" si="4"/>
        <v>8131332.7449252885</v>
      </c>
      <c r="G20" s="57">
        <f t="shared" si="5"/>
        <v>1204166.63840635</v>
      </c>
      <c r="H20" s="42">
        <f t="shared" si="6"/>
        <v>1204166.63840635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8"/>
        <v/>
      </c>
      <c r="C21" s="50">
        <f>IF(D11="","-",+C20+1)</f>
        <v>2030</v>
      </c>
      <c r="D21" s="55">
        <f>IF(F20+SUM(E$17:E20)=D$10,F20,D$10-SUM(E$17:E20))</f>
        <v>8131332.7449252885</v>
      </c>
      <c r="E21" s="56">
        <f t="shared" si="3"/>
        <v>235690.80420073299</v>
      </c>
      <c r="F21" s="55">
        <f t="shared" si="4"/>
        <v>7895641.9407245554</v>
      </c>
      <c r="G21" s="57">
        <f t="shared" si="5"/>
        <v>1176495.9002861895</v>
      </c>
      <c r="H21" s="42">
        <f t="shared" si="6"/>
        <v>1176495.9002861895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 ht="12.5">
      <c r="B22" s="7" t="str">
        <f t="shared" si="8"/>
        <v/>
      </c>
      <c r="C22" s="50">
        <f>IF(D11="","-",+C21+1)</f>
        <v>2031</v>
      </c>
      <c r="D22" s="55">
        <f>IF(F21+SUM(E$17:E21)=D$10,F21,D$10-SUM(E$17:E21))</f>
        <v>7895641.9407245554</v>
      </c>
      <c r="E22" s="56">
        <f t="shared" si="3"/>
        <v>235690.80420073299</v>
      </c>
      <c r="F22" s="55">
        <f t="shared" si="4"/>
        <v>7659951.1365238223</v>
      </c>
      <c r="G22" s="57">
        <f t="shared" si="5"/>
        <v>1148825.162166029</v>
      </c>
      <c r="H22" s="42">
        <f t="shared" si="6"/>
        <v>1148825.162166029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8"/>
        <v/>
      </c>
      <c r="C23" s="50">
        <f>IF(D11="","-",+C22+1)</f>
        <v>2032</v>
      </c>
      <c r="D23" s="55">
        <f>IF(F22+SUM(E$17:E22)=D$10,F22,D$10-SUM(E$17:E22))</f>
        <v>7659951.1365238223</v>
      </c>
      <c r="E23" s="56">
        <f t="shared" si="3"/>
        <v>235690.80420073299</v>
      </c>
      <c r="F23" s="55">
        <f t="shared" si="4"/>
        <v>7424260.3323230892</v>
      </c>
      <c r="G23" s="57">
        <f t="shared" si="5"/>
        <v>1121154.4240458685</v>
      </c>
      <c r="H23" s="42">
        <f t="shared" si="6"/>
        <v>1121154.4240458685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8"/>
        <v/>
      </c>
      <c r="C24" s="50">
        <f>IF(D11="","-",+C23+1)</f>
        <v>2033</v>
      </c>
      <c r="D24" s="55">
        <f>IF(F23+SUM(E$17:E23)=D$10,F23,D$10-SUM(E$17:E23))</f>
        <v>7424260.3323230892</v>
      </c>
      <c r="E24" s="56">
        <f t="shared" si="3"/>
        <v>235690.80420073299</v>
      </c>
      <c r="F24" s="55">
        <f t="shared" si="4"/>
        <v>7188569.5281223562</v>
      </c>
      <c r="G24" s="57">
        <f t="shared" si="5"/>
        <v>1093483.6859257079</v>
      </c>
      <c r="H24" s="42">
        <f t="shared" si="6"/>
        <v>1093483.6859257079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8"/>
        <v/>
      </c>
      <c r="C25" s="50">
        <f>IF(D11="","-",+C24+1)</f>
        <v>2034</v>
      </c>
      <c r="D25" s="55">
        <f>IF(F24+SUM(E$17:E24)=D$10,F24,D$10-SUM(E$17:E24))</f>
        <v>7188569.5281223562</v>
      </c>
      <c r="E25" s="56">
        <f t="shared" si="3"/>
        <v>235690.80420073299</v>
      </c>
      <c r="F25" s="55">
        <f t="shared" si="4"/>
        <v>6952878.7239216231</v>
      </c>
      <c r="G25" s="57">
        <f t="shared" si="5"/>
        <v>1065812.9478055474</v>
      </c>
      <c r="H25" s="42">
        <f t="shared" si="6"/>
        <v>1065812.9478055474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8"/>
        <v/>
      </c>
      <c r="C26" s="50">
        <f>IF(D11="","-",+C25+1)</f>
        <v>2035</v>
      </c>
      <c r="D26" s="55">
        <f>IF(F25+SUM(E$17:E25)=D$10,F25,D$10-SUM(E$17:E25))</f>
        <v>6952878.7239216231</v>
      </c>
      <c r="E26" s="56">
        <f t="shared" si="3"/>
        <v>235690.80420073299</v>
      </c>
      <c r="F26" s="55">
        <f t="shared" si="4"/>
        <v>6717187.91972089</v>
      </c>
      <c r="G26" s="57">
        <f t="shared" si="5"/>
        <v>1038142.209685387</v>
      </c>
      <c r="H26" s="42">
        <f t="shared" si="6"/>
        <v>1038142.209685387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8"/>
        <v/>
      </c>
      <c r="C27" s="50">
        <f>IF(D11="","-",+C26+1)</f>
        <v>2036</v>
      </c>
      <c r="D27" s="55">
        <f>IF(F26+SUM(E$17:E26)=D$10,F26,D$10-SUM(E$17:E26))</f>
        <v>6717187.91972089</v>
      </c>
      <c r="E27" s="56">
        <f t="shared" si="3"/>
        <v>235690.80420073299</v>
      </c>
      <c r="F27" s="55">
        <f t="shared" si="4"/>
        <v>6481497.1155201569</v>
      </c>
      <c r="G27" s="57">
        <f t="shared" si="5"/>
        <v>1010471.4715652264</v>
      </c>
      <c r="H27" s="42">
        <f t="shared" si="6"/>
        <v>1010471.4715652264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8"/>
        <v/>
      </c>
      <c r="C28" s="50">
        <f>IF(D11="","-",+C27+1)</f>
        <v>2037</v>
      </c>
      <c r="D28" s="55">
        <f>IF(F27+SUM(E$17:E27)=D$10,F27,D$10-SUM(E$17:E27))</f>
        <v>6481497.1155201569</v>
      </c>
      <c r="E28" s="56">
        <f t="shared" si="3"/>
        <v>235690.80420073299</v>
      </c>
      <c r="F28" s="55">
        <f t="shared" si="4"/>
        <v>6245806.3113194238</v>
      </c>
      <c r="G28" s="57">
        <f t="shared" si="5"/>
        <v>982800.73344506591</v>
      </c>
      <c r="H28" s="42">
        <f t="shared" si="6"/>
        <v>982800.73344506591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8"/>
        <v/>
      </c>
      <c r="C29" s="50">
        <f>IF(D11="","-",+C28+1)</f>
        <v>2038</v>
      </c>
      <c r="D29" s="55">
        <f>IF(F28+SUM(E$17:E28)=D$10,F28,D$10-SUM(E$17:E28))</f>
        <v>6245806.3113194238</v>
      </c>
      <c r="E29" s="56">
        <f t="shared" si="3"/>
        <v>235690.80420073299</v>
      </c>
      <c r="F29" s="55">
        <f t="shared" si="4"/>
        <v>6010115.5071186908</v>
      </c>
      <c r="G29" s="57">
        <f t="shared" si="5"/>
        <v>955129.9953249055</v>
      </c>
      <c r="H29" s="42">
        <f t="shared" si="6"/>
        <v>955129.9953249055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8"/>
        <v/>
      </c>
      <c r="C30" s="50">
        <f>IF(D11="","-",+C29+1)</f>
        <v>2039</v>
      </c>
      <c r="D30" s="55">
        <f>IF(F29+SUM(E$17:E29)=D$10,F29,D$10-SUM(E$17:E29))</f>
        <v>6010115.5071186908</v>
      </c>
      <c r="E30" s="56">
        <f t="shared" si="3"/>
        <v>235690.80420073299</v>
      </c>
      <c r="F30" s="55">
        <f t="shared" si="4"/>
        <v>5774424.7029179577</v>
      </c>
      <c r="G30" s="57">
        <f t="shared" si="5"/>
        <v>927459.25720474496</v>
      </c>
      <c r="H30" s="42">
        <f t="shared" si="6"/>
        <v>927459.25720474496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8"/>
        <v/>
      </c>
      <c r="C31" s="50">
        <f>IF(D11="","-",+C30+1)</f>
        <v>2040</v>
      </c>
      <c r="D31" s="55">
        <f>IF(F30+SUM(E$17:E30)=D$10,F30,D$10-SUM(E$17:E30))</f>
        <v>5774424.7029179577</v>
      </c>
      <c r="E31" s="56">
        <f t="shared" si="3"/>
        <v>235690.80420073299</v>
      </c>
      <c r="F31" s="55">
        <f t="shared" si="4"/>
        <v>5538733.8987172246</v>
      </c>
      <c r="G31" s="57">
        <f t="shared" si="5"/>
        <v>899788.51908458443</v>
      </c>
      <c r="H31" s="42">
        <f t="shared" si="6"/>
        <v>899788.51908458443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8"/>
        <v/>
      </c>
      <c r="C32" s="50">
        <f>IF(D11="","-",+C31+1)</f>
        <v>2041</v>
      </c>
      <c r="D32" s="55">
        <f>IF(F31+SUM(E$17:E31)=D$10,F31,D$10-SUM(E$17:E31))</f>
        <v>5538733.8987172246</v>
      </c>
      <c r="E32" s="56">
        <f t="shared" si="3"/>
        <v>235690.80420073299</v>
      </c>
      <c r="F32" s="55">
        <f t="shared" si="4"/>
        <v>5303043.0945164915</v>
      </c>
      <c r="G32" s="57">
        <f t="shared" si="5"/>
        <v>872117.78096442402</v>
      </c>
      <c r="H32" s="42">
        <f t="shared" si="6"/>
        <v>872117.78096442402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8"/>
        <v/>
      </c>
      <c r="C33" s="50">
        <f>IF(D11="","-",+C32+1)</f>
        <v>2042</v>
      </c>
      <c r="D33" s="55">
        <f>IF(F32+SUM(E$17:E32)=D$10,F32,D$10-SUM(E$17:E32))</f>
        <v>5303043.0945164915</v>
      </c>
      <c r="E33" s="56">
        <f t="shared" si="3"/>
        <v>235690.80420073299</v>
      </c>
      <c r="F33" s="55">
        <f t="shared" si="4"/>
        <v>5067352.2903157584</v>
      </c>
      <c r="G33" s="57">
        <f t="shared" si="5"/>
        <v>844447.04284426349</v>
      </c>
      <c r="H33" s="42">
        <f t="shared" si="6"/>
        <v>844447.04284426349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8"/>
        <v/>
      </c>
      <c r="C34" s="50">
        <f>IF(D11="","-",+C33+1)</f>
        <v>2043</v>
      </c>
      <c r="D34" s="55">
        <f>IF(F33+SUM(E$17:E33)=D$10,F33,D$10-SUM(E$17:E33))</f>
        <v>5067352.2903157584</v>
      </c>
      <c r="E34" s="56">
        <f t="shared" si="3"/>
        <v>235690.80420073299</v>
      </c>
      <c r="F34" s="55">
        <f t="shared" si="4"/>
        <v>4831661.4861150254</v>
      </c>
      <c r="G34" s="57">
        <f t="shared" si="5"/>
        <v>816776.30472410296</v>
      </c>
      <c r="H34" s="42">
        <f t="shared" si="6"/>
        <v>816776.30472410296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8"/>
        <v/>
      </c>
      <c r="C35" s="50">
        <f>IF(D11="","-",+C34+1)</f>
        <v>2044</v>
      </c>
      <c r="D35" s="55">
        <f>IF(F34+SUM(E$17:E34)=D$10,F34,D$10-SUM(E$17:E34))</f>
        <v>4831661.4861150254</v>
      </c>
      <c r="E35" s="56">
        <f t="shared" si="3"/>
        <v>235690.80420073299</v>
      </c>
      <c r="F35" s="55">
        <f t="shared" si="4"/>
        <v>4595970.6819142923</v>
      </c>
      <c r="G35" s="57">
        <f t="shared" si="5"/>
        <v>789105.56660394254</v>
      </c>
      <c r="H35" s="42">
        <f t="shared" si="6"/>
        <v>789105.56660394254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8"/>
        <v/>
      </c>
      <c r="C36" s="50">
        <f>IF(D11="","-",+C35+1)</f>
        <v>2045</v>
      </c>
      <c r="D36" s="55">
        <f>IF(F35+SUM(E$17:E35)=D$10,F35,D$10-SUM(E$17:E35))</f>
        <v>4595970.6819142923</v>
      </c>
      <c r="E36" s="56">
        <f t="shared" si="3"/>
        <v>235690.80420073299</v>
      </c>
      <c r="F36" s="55">
        <f t="shared" si="4"/>
        <v>4360279.8777135592</v>
      </c>
      <c r="G36" s="57">
        <f t="shared" si="5"/>
        <v>761434.82848378201</v>
      </c>
      <c r="H36" s="42">
        <f t="shared" si="6"/>
        <v>761434.82848378201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8"/>
        <v/>
      </c>
      <c r="C37" s="50">
        <f>IF(D11="","-",+C36+1)</f>
        <v>2046</v>
      </c>
      <c r="D37" s="55">
        <f>IF(F36+SUM(E$17:E36)=D$10,F36,D$10-SUM(E$17:E36))</f>
        <v>4360279.8777135592</v>
      </c>
      <c r="E37" s="56">
        <f t="shared" si="3"/>
        <v>235690.80420073299</v>
      </c>
      <c r="F37" s="55">
        <f t="shared" si="4"/>
        <v>4124589.0735128261</v>
      </c>
      <c r="G37" s="57">
        <f t="shared" si="5"/>
        <v>733764.09036362148</v>
      </c>
      <c r="H37" s="42">
        <f t="shared" si="6"/>
        <v>733764.09036362148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8"/>
        <v/>
      </c>
      <c r="C38" s="50">
        <f>IF(D11="","-",+C37+1)</f>
        <v>2047</v>
      </c>
      <c r="D38" s="55">
        <f>IF(F37+SUM(E$17:E37)=D$10,F37,D$10-SUM(E$17:E37))</f>
        <v>4124589.0735128261</v>
      </c>
      <c r="E38" s="56">
        <f t="shared" si="3"/>
        <v>235690.80420073299</v>
      </c>
      <c r="F38" s="55">
        <f t="shared" si="4"/>
        <v>3888898.269312093</v>
      </c>
      <c r="G38" s="57">
        <f t="shared" si="5"/>
        <v>706093.35224346106</v>
      </c>
      <c r="H38" s="42">
        <f t="shared" si="6"/>
        <v>706093.35224346106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8"/>
        <v/>
      </c>
      <c r="C39" s="50">
        <f>IF(D11="","-",+C38+1)</f>
        <v>2048</v>
      </c>
      <c r="D39" s="55">
        <f>IF(F38+SUM(E$17:E38)=D$10,F38,D$10-SUM(E$17:E38))</f>
        <v>3888898.269312093</v>
      </c>
      <c r="E39" s="56">
        <f t="shared" si="3"/>
        <v>235690.80420073299</v>
      </c>
      <c r="F39" s="55">
        <f t="shared" si="4"/>
        <v>3653207.46511136</v>
      </c>
      <c r="G39" s="57">
        <f t="shared" si="5"/>
        <v>678422.61412330053</v>
      </c>
      <c r="H39" s="42">
        <f t="shared" si="6"/>
        <v>678422.61412330053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8"/>
        <v/>
      </c>
      <c r="C40" s="50">
        <f>IF(D11="","-",+C39+1)</f>
        <v>2049</v>
      </c>
      <c r="D40" s="55">
        <f>IF(F39+SUM(E$17:E39)=D$10,F39,D$10-SUM(E$17:E39))</f>
        <v>3653207.46511136</v>
      </c>
      <c r="E40" s="56">
        <f t="shared" si="3"/>
        <v>235690.80420073299</v>
      </c>
      <c r="F40" s="55">
        <f t="shared" si="4"/>
        <v>3417516.6609106269</v>
      </c>
      <c r="G40" s="57">
        <f t="shared" si="5"/>
        <v>650751.87600314</v>
      </c>
      <c r="H40" s="42">
        <f t="shared" si="6"/>
        <v>650751.87600314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8"/>
        <v/>
      </c>
      <c r="C41" s="50">
        <f>IF(D11="","-",+C40+1)</f>
        <v>2050</v>
      </c>
      <c r="D41" s="55">
        <f>IF(F40+SUM(E$17:E40)=D$10,F40,D$10-SUM(E$17:E40))</f>
        <v>3417516.6609106269</v>
      </c>
      <c r="E41" s="56">
        <f t="shared" si="3"/>
        <v>235690.80420073299</v>
      </c>
      <c r="F41" s="55">
        <f t="shared" si="4"/>
        <v>3181825.8567098938</v>
      </c>
      <c r="G41" s="57">
        <f t="shared" si="5"/>
        <v>623081.13788297959</v>
      </c>
      <c r="H41" s="42">
        <f t="shared" si="6"/>
        <v>623081.13788297959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8"/>
        <v/>
      </c>
      <c r="C42" s="50">
        <f>IF(D11="","-",+C41+1)</f>
        <v>2051</v>
      </c>
      <c r="D42" s="55">
        <f>IF(F41+SUM(E$17:E41)=D$10,F41,D$10-SUM(E$17:E41))</f>
        <v>3181825.8567098938</v>
      </c>
      <c r="E42" s="56">
        <f t="shared" si="3"/>
        <v>235690.80420073299</v>
      </c>
      <c r="F42" s="55">
        <f t="shared" si="4"/>
        <v>2946135.0525091607</v>
      </c>
      <c r="G42" s="57">
        <f t="shared" si="5"/>
        <v>595410.39976281906</v>
      </c>
      <c r="H42" s="42">
        <f t="shared" si="6"/>
        <v>595410.39976281906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8"/>
        <v/>
      </c>
      <c r="C43" s="50">
        <f>IF(D11="","-",+C42+1)</f>
        <v>2052</v>
      </c>
      <c r="D43" s="55">
        <f>IF(F42+SUM(E$17:E42)=D$10,F42,D$10-SUM(E$17:E42))</f>
        <v>2946135.0525091607</v>
      </c>
      <c r="E43" s="56">
        <f t="shared" si="3"/>
        <v>235690.80420073299</v>
      </c>
      <c r="F43" s="55">
        <f t="shared" si="4"/>
        <v>2710444.2483084276</v>
      </c>
      <c r="G43" s="57">
        <f t="shared" si="5"/>
        <v>567739.66164265852</v>
      </c>
      <c r="H43" s="42">
        <f t="shared" si="6"/>
        <v>567739.66164265852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8"/>
        <v/>
      </c>
      <c r="C44" s="50">
        <f>IF(D11="","-",+C43+1)</f>
        <v>2053</v>
      </c>
      <c r="D44" s="55">
        <f>IF(F43+SUM(E$17:E43)=D$10,F43,D$10-SUM(E$17:E43))</f>
        <v>2710444.2483084276</v>
      </c>
      <c r="E44" s="56">
        <f t="shared" si="3"/>
        <v>235690.80420073299</v>
      </c>
      <c r="F44" s="55">
        <f t="shared" si="4"/>
        <v>2474753.4441076946</v>
      </c>
      <c r="G44" s="57">
        <f t="shared" si="5"/>
        <v>540068.92352249811</v>
      </c>
      <c r="H44" s="42">
        <f t="shared" si="6"/>
        <v>540068.92352249811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8"/>
        <v/>
      </c>
      <c r="C45" s="50">
        <f>IF(D11="","-",+C44+1)</f>
        <v>2054</v>
      </c>
      <c r="D45" s="55">
        <f>IF(F44+SUM(E$17:E44)=D$10,F44,D$10-SUM(E$17:E44))</f>
        <v>2474753.4441076946</v>
      </c>
      <c r="E45" s="56">
        <f t="shared" si="3"/>
        <v>235690.80420073299</v>
      </c>
      <c r="F45" s="55">
        <f t="shared" si="4"/>
        <v>2239062.6399069615</v>
      </c>
      <c r="G45" s="57">
        <f t="shared" si="5"/>
        <v>512398.18540233758</v>
      </c>
      <c r="H45" s="42">
        <f t="shared" si="6"/>
        <v>512398.18540233758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8"/>
        <v/>
      </c>
      <c r="C46" s="50">
        <f>IF(D11="","-",+C45+1)</f>
        <v>2055</v>
      </c>
      <c r="D46" s="55">
        <f>IF(F45+SUM(E$17:E45)=D$10,F45,D$10-SUM(E$17:E45))</f>
        <v>2239062.6399069615</v>
      </c>
      <c r="E46" s="56">
        <f t="shared" si="3"/>
        <v>235690.80420073299</v>
      </c>
      <c r="F46" s="55">
        <f t="shared" si="4"/>
        <v>2003371.8357062284</v>
      </c>
      <c r="G46" s="57">
        <f t="shared" si="5"/>
        <v>484727.44728217711</v>
      </c>
      <c r="H46" s="42">
        <f t="shared" si="6"/>
        <v>484727.44728217711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8"/>
        <v/>
      </c>
      <c r="C47" s="50">
        <f>IF(D11="","-",+C46+1)</f>
        <v>2056</v>
      </c>
      <c r="D47" s="55">
        <f>IF(F46+SUM(E$17:E46)=D$10,F46,D$10-SUM(E$17:E46))</f>
        <v>2003371.8357062284</v>
      </c>
      <c r="E47" s="56">
        <f t="shared" si="3"/>
        <v>235690.80420073299</v>
      </c>
      <c r="F47" s="55">
        <f t="shared" si="4"/>
        <v>1767681.0315054953</v>
      </c>
      <c r="G47" s="57">
        <f t="shared" si="5"/>
        <v>457056.70916201663</v>
      </c>
      <c r="H47" s="42">
        <f t="shared" si="6"/>
        <v>457056.70916201663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8"/>
        <v/>
      </c>
      <c r="C48" s="50">
        <f>IF(D11="","-",+C47+1)</f>
        <v>2057</v>
      </c>
      <c r="D48" s="55">
        <f>IF(F47+SUM(E$17:E47)=D$10,F47,D$10-SUM(E$17:E47))</f>
        <v>1767681.0315054953</v>
      </c>
      <c r="E48" s="56">
        <f t="shared" si="3"/>
        <v>235690.80420073299</v>
      </c>
      <c r="F48" s="55">
        <f t="shared" si="4"/>
        <v>1531990.2273047622</v>
      </c>
      <c r="G48" s="57">
        <f t="shared" si="5"/>
        <v>429385.9710418561</v>
      </c>
      <c r="H48" s="42">
        <f t="shared" si="6"/>
        <v>429385.9710418561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22" ht="12.5">
      <c r="B49" s="7" t="str">
        <f t="shared" si="8"/>
        <v/>
      </c>
      <c r="C49" s="50">
        <f>IF(D11="","-",+C48+1)</f>
        <v>2058</v>
      </c>
      <c r="D49" s="55">
        <f>IF(F48+SUM(E$17:E48)=D$10,F48,D$10-SUM(E$17:E48))</f>
        <v>1531990.2273047622</v>
      </c>
      <c r="E49" s="56">
        <f t="shared" si="3"/>
        <v>235690.80420073299</v>
      </c>
      <c r="F49" s="55">
        <f t="shared" si="4"/>
        <v>1296299.4231040291</v>
      </c>
      <c r="G49" s="57">
        <f t="shared" si="5"/>
        <v>401715.23292169563</v>
      </c>
      <c r="H49" s="42">
        <f t="shared" si="6"/>
        <v>401715.23292169563</v>
      </c>
      <c r="I49" s="52">
        <f t="shared" si="7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22" ht="12.5">
      <c r="B50" s="7" t="str">
        <f t="shared" si="8"/>
        <v/>
      </c>
      <c r="C50" s="50">
        <f>IF(D11="","-",+C49+1)</f>
        <v>2059</v>
      </c>
      <c r="D50" s="55">
        <f>IF(F49+SUM(E$17:E49)=D$10,F49,D$10-SUM(E$17:E49))</f>
        <v>1296299.4231040291</v>
      </c>
      <c r="E50" s="56">
        <f t="shared" si="3"/>
        <v>235690.80420073299</v>
      </c>
      <c r="F50" s="55">
        <f t="shared" si="4"/>
        <v>1060608.6189032961</v>
      </c>
      <c r="G50" s="57">
        <f t="shared" si="5"/>
        <v>374044.49480153515</v>
      </c>
      <c r="H50" s="42">
        <f t="shared" si="6"/>
        <v>374044.49480153515</v>
      </c>
      <c r="I50" s="52">
        <f t="shared" si="7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22" ht="12.5">
      <c r="B51" s="7" t="str">
        <f t="shared" si="8"/>
        <v/>
      </c>
      <c r="C51" s="50">
        <f>IF(D11="","-",+C50+1)</f>
        <v>2060</v>
      </c>
      <c r="D51" s="55">
        <f>IF(F50+SUM(E$17:E50)=D$10,F50,D$10-SUM(E$17:E50))</f>
        <v>1060608.6189032961</v>
      </c>
      <c r="E51" s="56">
        <f t="shared" si="3"/>
        <v>235690.80420073299</v>
      </c>
      <c r="F51" s="55">
        <f t="shared" si="4"/>
        <v>824917.8147025631</v>
      </c>
      <c r="G51" s="57">
        <f t="shared" si="5"/>
        <v>346373.75668137462</v>
      </c>
      <c r="H51" s="42">
        <f t="shared" si="6"/>
        <v>346373.75668137462</v>
      </c>
      <c r="I51" s="52">
        <f t="shared" si="7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  <c r="V51" t="s">
        <v>455</v>
      </c>
    </row>
    <row r="52" spans="2:22" ht="12.5">
      <c r="B52" s="7" t="str">
        <f t="shared" si="8"/>
        <v/>
      </c>
      <c r="C52" s="50">
        <f>IF(D11="","-",+C51+1)</f>
        <v>2061</v>
      </c>
      <c r="D52" s="55">
        <f>IF(F51+SUM(E$17:E51)=D$10,F51,D$10-SUM(E$17:E51))</f>
        <v>824917.8147025631</v>
      </c>
      <c r="E52" s="56">
        <f t="shared" si="3"/>
        <v>235690.80420073299</v>
      </c>
      <c r="F52" s="55">
        <f t="shared" si="4"/>
        <v>589227.01050183014</v>
      </c>
      <c r="G52" s="57">
        <f t="shared" si="5"/>
        <v>318703.01856121415</v>
      </c>
      <c r="H52" s="42">
        <f t="shared" si="6"/>
        <v>318703.01856121415</v>
      </c>
      <c r="I52" s="52">
        <f t="shared" si="7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22" ht="12.5">
      <c r="B53" s="7" t="str">
        <f t="shared" si="8"/>
        <v/>
      </c>
      <c r="C53" s="50">
        <f>IF(D11="","-",+C52+1)</f>
        <v>2062</v>
      </c>
      <c r="D53" s="55">
        <f>IF(F52+SUM(E$17:E52)=D$10,F52,D$10-SUM(E$17:E52))</f>
        <v>589227.01050183014</v>
      </c>
      <c r="E53" s="56">
        <f t="shared" si="3"/>
        <v>235690.80420073299</v>
      </c>
      <c r="F53" s="55">
        <f t="shared" si="4"/>
        <v>353536.20630109718</v>
      </c>
      <c r="G53" s="57">
        <f t="shared" si="5"/>
        <v>291032.28044105368</v>
      </c>
      <c r="H53" s="42">
        <f t="shared" si="6"/>
        <v>291032.28044105368</v>
      </c>
      <c r="I53" s="52">
        <f t="shared" si="7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22" ht="12.5">
      <c r="B54" s="7" t="str">
        <f t="shared" si="8"/>
        <v/>
      </c>
      <c r="C54" s="50">
        <f>IF(D11="","-",+C53+1)</f>
        <v>2063</v>
      </c>
      <c r="D54" s="55">
        <f>IF(F53+SUM(E$17:E53)=D$10,F53,D$10-SUM(E$17:E53))</f>
        <v>353536.20630109718</v>
      </c>
      <c r="E54" s="56">
        <f t="shared" si="3"/>
        <v>235690.80420073299</v>
      </c>
      <c r="F54" s="55">
        <f t="shared" si="4"/>
        <v>117845.40210036418</v>
      </c>
      <c r="G54" s="57">
        <f t="shared" si="5"/>
        <v>263361.5423208932</v>
      </c>
      <c r="H54" s="42">
        <f t="shared" si="6"/>
        <v>263361.5423208932</v>
      </c>
      <c r="I54" s="52">
        <f t="shared" si="7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22" ht="12.5">
      <c r="B55" s="7" t="str">
        <f t="shared" si="8"/>
        <v/>
      </c>
      <c r="C55" s="50">
        <f>IF(D11="","-",+C54+1)</f>
        <v>2064</v>
      </c>
      <c r="D55" s="55">
        <f>IF(F54+SUM(E$17:E54)=D$10,F54,D$10-SUM(E$17:E54))</f>
        <v>117845.40210036418</v>
      </c>
      <c r="E55" s="56">
        <f t="shared" si="3"/>
        <v>117845.40210036418</v>
      </c>
      <c r="F55" s="55">
        <f t="shared" si="4"/>
        <v>0</v>
      </c>
      <c r="G55" s="57">
        <f t="shared" si="5"/>
        <v>124763.08663040417</v>
      </c>
      <c r="H55" s="42">
        <f t="shared" si="6"/>
        <v>124763.08663040417</v>
      </c>
      <c r="I55" s="52">
        <f t="shared" si="7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22" ht="12.5">
      <c r="B56" s="7" t="str">
        <f t="shared" si="8"/>
        <v/>
      </c>
      <c r="C56" s="50">
        <f>IF(D11="","-",+C55+1)</f>
        <v>2065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22" ht="12.5">
      <c r="B57" s="7" t="str">
        <f t="shared" si="8"/>
        <v/>
      </c>
      <c r="C57" s="50">
        <f>IF(D11="","-",+C56+1)</f>
        <v>2066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22" ht="12.5">
      <c r="B58" s="7" t="str">
        <f t="shared" si="8"/>
        <v/>
      </c>
      <c r="C58" s="50">
        <f>IF(D11="","-",+C57+1)</f>
        <v>2067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22" ht="12.5">
      <c r="B59" s="7" t="str">
        <f t="shared" si="8"/>
        <v/>
      </c>
      <c r="C59" s="50">
        <f>IF(D11="","-",+C58+1)</f>
        <v>2068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22" ht="12.5">
      <c r="B60" s="7" t="str">
        <f t="shared" si="8"/>
        <v/>
      </c>
      <c r="C60" s="50">
        <f>IF(D11="","-",+C59+1)</f>
        <v>2069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22" ht="12.5">
      <c r="B61" s="7" t="str">
        <f t="shared" si="8"/>
        <v/>
      </c>
      <c r="C61" s="50">
        <f>IF(D11="","-",+C60+1)</f>
        <v>2070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22" ht="12.5">
      <c r="B62" s="7" t="str">
        <f t="shared" si="8"/>
        <v/>
      </c>
      <c r="C62" s="50">
        <f>IF(D11="","-",+C61+1)</f>
        <v>2071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22" ht="12.5">
      <c r="B63" s="7" t="str">
        <f t="shared" si="8"/>
        <v/>
      </c>
      <c r="C63" s="50">
        <f>IF(D11="","-",+C62+1)</f>
        <v>2072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22" ht="12.5">
      <c r="B64" s="7" t="str">
        <f t="shared" si="8"/>
        <v/>
      </c>
      <c r="C64" s="50">
        <f>IF(D11="","-",+C63+1)</f>
        <v>2073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 ht="12.5">
      <c r="B65" s="7" t="str">
        <f t="shared" si="8"/>
        <v/>
      </c>
      <c r="C65" s="50">
        <f>IF(D11="","-",+C64+1)</f>
        <v>2074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 ht="12.5">
      <c r="B66" s="7" t="str">
        <f t="shared" si="8"/>
        <v/>
      </c>
      <c r="C66" s="50">
        <f>IF(D11="","-",+C65+1)</f>
        <v>2075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 ht="12.5">
      <c r="B67" s="7" t="str">
        <f t="shared" si="8"/>
        <v/>
      </c>
      <c r="C67" s="50">
        <f>IF(D11="","-",+C66+1)</f>
        <v>2076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 ht="12.5">
      <c r="B68" s="7" t="str">
        <f t="shared" si="8"/>
        <v/>
      </c>
      <c r="C68" s="50">
        <f>IF(D11="","-",+C67+1)</f>
        <v>2077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 ht="12.5">
      <c r="B69" s="7" t="str">
        <f t="shared" si="8"/>
        <v/>
      </c>
      <c r="C69" s="50">
        <f>IF(D11="","-",+C68+1)</f>
        <v>2078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 ht="12.5">
      <c r="B70" s="7" t="str">
        <f t="shared" si="8"/>
        <v/>
      </c>
      <c r="C70" s="50">
        <f>IF(D11="","-",+C69+1)</f>
        <v>2079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 ht="12.5">
      <c r="B71" s="7" t="str">
        <f t="shared" si="8"/>
        <v/>
      </c>
      <c r="C71" s="50">
        <f>IF(D11="","-",+C70+1)</f>
        <v>2080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8"/>
        <v/>
      </c>
      <c r="C72" s="58">
        <f>IF(D11="","-",+C71+1)</f>
        <v>2081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 ht="12.5">
      <c r="C73" s="12" t="s">
        <v>77</v>
      </c>
      <c r="D73" s="14"/>
      <c r="E73" s="14">
        <f>SUM(E17:E72)</f>
        <v>8956250.5596278533</v>
      </c>
      <c r="F73" s="14"/>
      <c r="G73" s="14">
        <f>SUM(G17:G72)</f>
        <v>28934523.482383717</v>
      </c>
      <c r="H73" s="14">
        <f>SUM(H17:H72)</f>
        <v>28934523.482383717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36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Riverside Station 138 kV Breakers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TP2019245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f>IF(D11=I10,0,D10)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2026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9">IF(L99&lt;&gt;0,+H99-L99,0)</f>
        <v>0</v>
      </c>
      <c r="N99" s="114"/>
      <c r="O99" s="53">
        <f t="shared" ref="O99:O130" si="10">IF(N99&lt;&gt;0,+I99-N99,0)</f>
        <v>0</v>
      </c>
      <c r="P99" s="53">
        <f t="shared" ref="P99:P130" si="11">+O99-M99</f>
        <v>0</v>
      </c>
    </row>
    <row r="100" spans="1:16" ht="12.5">
      <c r="B100" s="7" t="str">
        <f>IF(D100=F99,"","IU")</f>
        <v/>
      </c>
      <c r="C100" s="50">
        <f>IF(D93="","-",+C99+1)</f>
        <v>2027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2">+J$94*G100+E100</f>
        <v>0</v>
      </c>
      <c r="I100" s="122">
        <f t="shared" ref="I100:I154" si="13">+J$95*G100+E100</f>
        <v>0</v>
      </c>
      <c r="J100" s="54">
        <f t="shared" ref="J100:J130" si="14">+I100-H100</f>
        <v>0</v>
      </c>
      <c r="K100" s="54"/>
      <c r="L100" s="115"/>
      <c r="M100" s="54">
        <f t="shared" si="9"/>
        <v>0</v>
      </c>
      <c r="N100" s="115"/>
      <c r="O100" s="54">
        <f t="shared" si="10"/>
        <v>0</v>
      </c>
      <c r="P100" s="54">
        <f t="shared" si="11"/>
        <v>0</v>
      </c>
    </row>
    <row r="101" spans="1:16" ht="12.5">
      <c r="B101" s="7" t="str">
        <f t="shared" ref="B101:B154" si="15">IF(D101=F100,"","IU")</f>
        <v/>
      </c>
      <c r="C101" s="50">
        <f>IF(D93="","-",+C100+1)</f>
        <v>2028</v>
      </c>
      <c r="D101" s="12">
        <f>IF(F100+SUM(E$99:E100)=D$92,F100,D$92-SUM(E$99:E100))</f>
        <v>0</v>
      </c>
      <c r="E101" s="56">
        <f t="shared" ref="E101:E154" si="16">IF(+J$96&lt;F100,J$96,D101)</f>
        <v>0</v>
      </c>
      <c r="F101" s="55">
        <f t="shared" ref="F101:F154" si="17">+D101-E101</f>
        <v>0</v>
      </c>
      <c r="G101" s="55">
        <f t="shared" ref="G101:G154" si="18">+(F101+D101)/2</f>
        <v>0</v>
      </c>
      <c r="H101" s="113">
        <f t="shared" si="12"/>
        <v>0</v>
      </c>
      <c r="I101" s="122">
        <f t="shared" si="13"/>
        <v>0</v>
      </c>
      <c r="J101" s="54">
        <f t="shared" si="14"/>
        <v>0</v>
      </c>
      <c r="K101" s="54"/>
      <c r="L101" s="115"/>
      <c r="M101" s="54">
        <f t="shared" si="9"/>
        <v>0</v>
      </c>
      <c r="N101" s="115"/>
      <c r="O101" s="54">
        <f t="shared" si="10"/>
        <v>0</v>
      </c>
      <c r="P101" s="54">
        <f t="shared" si="11"/>
        <v>0</v>
      </c>
    </row>
    <row r="102" spans="1:16" ht="12.5">
      <c r="B102" s="7" t="str">
        <f t="shared" si="15"/>
        <v/>
      </c>
      <c r="C102" s="50">
        <f>IF(D93="","-",+C101+1)</f>
        <v>2029</v>
      </c>
      <c r="D102" s="12">
        <f>IF(F101+SUM(E$99:E101)=D$92,F101,D$92-SUM(E$99:E101))</f>
        <v>0</v>
      </c>
      <c r="E102" s="56">
        <f t="shared" si="16"/>
        <v>0</v>
      </c>
      <c r="F102" s="55">
        <f t="shared" si="17"/>
        <v>0</v>
      </c>
      <c r="G102" s="55">
        <f t="shared" si="18"/>
        <v>0</v>
      </c>
      <c r="H102" s="113">
        <f t="shared" si="12"/>
        <v>0</v>
      </c>
      <c r="I102" s="122">
        <f t="shared" si="13"/>
        <v>0</v>
      </c>
      <c r="J102" s="54">
        <f t="shared" si="14"/>
        <v>0</v>
      </c>
      <c r="K102" s="54"/>
      <c r="L102" s="115"/>
      <c r="M102" s="54">
        <f t="shared" si="9"/>
        <v>0</v>
      </c>
      <c r="N102" s="115"/>
      <c r="O102" s="54">
        <f t="shared" si="10"/>
        <v>0</v>
      </c>
      <c r="P102" s="54">
        <f t="shared" si="11"/>
        <v>0</v>
      </c>
    </row>
    <row r="103" spans="1:16" ht="12.5">
      <c r="B103" s="7" t="str">
        <f t="shared" si="15"/>
        <v/>
      </c>
      <c r="C103" s="50">
        <f>IF(D93="","-",+C102+1)</f>
        <v>2030</v>
      </c>
      <c r="D103" s="12">
        <f>IF(F102+SUM(E$99:E102)=D$92,F102,D$92-SUM(E$99:E102))</f>
        <v>0</v>
      </c>
      <c r="E103" s="56">
        <f t="shared" si="16"/>
        <v>0</v>
      </c>
      <c r="F103" s="55">
        <f t="shared" si="17"/>
        <v>0</v>
      </c>
      <c r="G103" s="55">
        <f t="shared" si="18"/>
        <v>0</v>
      </c>
      <c r="H103" s="113">
        <f t="shared" si="12"/>
        <v>0</v>
      </c>
      <c r="I103" s="122">
        <f t="shared" si="13"/>
        <v>0</v>
      </c>
      <c r="J103" s="54">
        <f t="shared" si="14"/>
        <v>0</v>
      </c>
      <c r="K103" s="54"/>
      <c r="L103" s="115"/>
      <c r="M103" s="54">
        <f t="shared" si="9"/>
        <v>0</v>
      </c>
      <c r="N103" s="115"/>
      <c r="O103" s="54">
        <f t="shared" si="10"/>
        <v>0</v>
      </c>
      <c r="P103" s="54">
        <f t="shared" si="11"/>
        <v>0</v>
      </c>
    </row>
    <row r="104" spans="1:16" ht="12.5">
      <c r="B104" s="7" t="str">
        <f t="shared" si="15"/>
        <v/>
      </c>
      <c r="C104" s="50">
        <f>IF(D93="","-",+C103+1)</f>
        <v>2031</v>
      </c>
      <c r="D104" s="12">
        <f>IF(F103+SUM(E$99:E103)=D$92,F103,D$92-SUM(E$99:E103))</f>
        <v>0</v>
      </c>
      <c r="E104" s="56">
        <f t="shared" si="16"/>
        <v>0</v>
      </c>
      <c r="F104" s="55">
        <f t="shared" si="17"/>
        <v>0</v>
      </c>
      <c r="G104" s="55">
        <f t="shared" si="18"/>
        <v>0</v>
      </c>
      <c r="H104" s="113">
        <f t="shared" si="12"/>
        <v>0</v>
      </c>
      <c r="I104" s="122">
        <f t="shared" si="13"/>
        <v>0</v>
      </c>
      <c r="J104" s="54">
        <f t="shared" si="14"/>
        <v>0</v>
      </c>
      <c r="K104" s="54"/>
      <c r="L104" s="115"/>
      <c r="M104" s="54">
        <f t="shared" si="9"/>
        <v>0</v>
      </c>
      <c r="N104" s="115"/>
      <c r="O104" s="54">
        <f t="shared" si="10"/>
        <v>0</v>
      </c>
      <c r="P104" s="54">
        <f t="shared" si="11"/>
        <v>0</v>
      </c>
    </row>
    <row r="105" spans="1:16" ht="12.5">
      <c r="B105" s="7" t="str">
        <f t="shared" si="15"/>
        <v/>
      </c>
      <c r="C105" s="50">
        <f>IF(D93="","-",+C104+1)</f>
        <v>2032</v>
      </c>
      <c r="D105" s="12">
        <f>IF(F104+SUM(E$99:E104)=D$92,F104,D$92-SUM(E$99:E104))</f>
        <v>0</v>
      </c>
      <c r="E105" s="56">
        <f t="shared" si="16"/>
        <v>0</v>
      </c>
      <c r="F105" s="55">
        <f t="shared" si="17"/>
        <v>0</v>
      </c>
      <c r="G105" s="55">
        <f t="shared" si="18"/>
        <v>0</v>
      </c>
      <c r="H105" s="113">
        <f t="shared" si="12"/>
        <v>0</v>
      </c>
      <c r="I105" s="122">
        <f t="shared" si="13"/>
        <v>0</v>
      </c>
      <c r="J105" s="54">
        <f t="shared" si="14"/>
        <v>0</v>
      </c>
      <c r="K105" s="54"/>
      <c r="L105" s="115"/>
      <c r="M105" s="54">
        <f t="shared" si="9"/>
        <v>0</v>
      </c>
      <c r="N105" s="115"/>
      <c r="O105" s="54">
        <f t="shared" si="10"/>
        <v>0</v>
      </c>
      <c r="P105" s="54">
        <f t="shared" si="11"/>
        <v>0</v>
      </c>
    </row>
    <row r="106" spans="1:16" ht="12.5">
      <c r="B106" s="7" t="str">
        <f t="shared" si="15"/>
        <v/>
      </c>
      <c r="C106" s="50">
        <f>IF(D93="","-",+C105+1)</f>
        <v>2033</v>
      </c>
      <c r="D106" s="12">
        <f>IF(F105+SUM(E$99:E105)=D$92,F105,D$92-SUM(E$99:E105))</f>
        <v>0</v>
      </c>
      <c r="E106" s="56">
        <f t="shared" si="16"/>
        <v>0</v>
      </c>
      <c r="F106" s="55">
        <f t="shared" si="17"/>
        <v>0</v>
      </c>
      <c r="G106" s="55">
        <f t="shared" si="18"/>
        <v>0</v>
      </c>
      <c r="H106" s="113">
        <f t="shared" si="12"/>
        <v>0</v>
      </c>
      <c r="I106" s="122">
        <f t="shared" si="13"/>
        <v>0</v>
      </c>
      <c r="J106" s="54">
        <f t="shared" si="14"/>
        <v>0</v>
      </c>
      <c r="K106" s="54"/>
      <c r="L106" s="115"/>
      <c r="M106" s="54">
        <f t="shared" si="9"/>
        <v>0</v>
      </c>
      <c r="N106" s="115"/>
      <c r="O106" s="54">
        <f t="shared" si="10"/>
        <v>0</v>
      </c>
      <c r="P106" s="54">
        <f t="shared" si="11"/>
        <v>0</v>
      </c>
    </row>
    <row r="107" spans="1:16" ht="12.5">
      <c r="B107" s="7" t="str">
        <f t="shared" si="15"/>
        <v/>
      </c>
      <c r="C107" s="50">
        <f>IF(D93="","-",+C106+1)</f>
        <v>2034</v>
      </c>
      <c r="D107" s="12">
        <f>IF(F106+SUM(E$99:E106)=D$92,F106,D$92-SUM(E$99:E106))</f>
        <v>0</v>
      </c>
      <c r="E107" s="56">
        <f t="shared" si="16"/>
        <v>0</v>
      </c>
      <c r="F107" s="55">
        <f t="shared" si="17"/>
        <v>0</v>
      </c>
      <c r="G107" s="55">
        <f t="shared" si="18"/>
        <v>0</v>
      </c>
      <c r="H107" s="113">
        <f t="shared" si="12"/>
        <v>0</v>
      </c>
      <c r="I107" s="122">
        <f t="shared" si="13"/>
        <v>0</v>
      </c>
      <c r="J107" s="54">
        <f t="shared" si="14"/>
        <v>0</v>
      </c>
      <c r="K107" s="54"/>
      <c r="L107" s="115"/>
      <c r="M107" s="54">
        <f t="shared" si="9"/>
        <v>0</v>
      </c>
      <c r="N107" s="115"/>
      <c r="O107" s="54">
        <f t="shared" si="10"/>
        <v>0</v>
      </c>
      <c r="P107" s="54">
        <f t="shared" si="11"/>
        <v>0</v>
      </c>
    </row>
    <row r="108" spans="1:16" ht="12.5">
      <c r="B108" s="7" t="str">
        <f t="shared" si="15"/>
        <v/>
      </c>
      <c r="C108" s="50">
        <f>IF(D93="","-",+C107+1)</f>
        <v>2035</v>
      </c>
      <c r="D108" s="12">
        <f>IF(F107+SUM(E$99:E107)=D$92,F107,D$92-SUM(E$99:E107))</f>
        <v>0</v>
      </c>
      <c r="E108" s="56">
        <f t="shared" si="16"/>
        <v>0</v>
      </c>
      <c r="F108" s="55">
        <f t="shared" si="17"/>
        <v>0</v>
      </c>
      <c r="G108" s="55">
        <f t="shared" si="18"/>
        <v>0</v>
      </c>
      <c r="H108" s="113">
        <f t="shared" si="12"/>
        <v>0</v>
      </c>
      <c r="I108" s="122">
        <f t="shared" si="13"/>
        <v>0</v>
      </c>
      <c r="J108" s="54">
        <f t="shared" si="14"/>
        <v>0</v>
      </c>
      <c r="K108" s="54"/>
      <c r="L108" s="115"/>
      <c r="M108" s="54">
        <f t="shared" si="9"/>
        <v>0</v>
      </c>
      <c r="N108" s="115"/>
      <c r="O108" s="54">
        <f t="shared" si="10"/>
        <v>0</v>
      </c>
      <c r="P108" s="54">
        <f t="shared" si="11"/>
        <v>0</v>
      </c>
    </row>
    <row r="109" spans="1:16" ht="12.5">
      <c r="B109" s="7" t="str">
        <f t="shared" si="15"/>
        <v/>
      </c>
      <c r="C109" s="50">
        <f>IF(D93="","-",+C108+1)</f>
        <v>2036</v>
      </c>
      <c r="D109" s="12">
        <f>IF(F108+SUM(E$99:E108)=D$92,F108,D$92-SUM(E$99:E108))</f>
        <v>0</v>
      </c>
      <c r="E109" s="56">
        <f t="shared" si="16"/>
        <v>0</v>
      </c>
      <c r="F109" s="55">
        <f t="shared" si="17"/>
        <v>0</v>
      </c>
      <c r="G109" s="55">
        <f t="shared" si="18"/>
        <v>0</v>
      </c>
      <c r="H109" s="113">
        <f t="shared" si="12"/>
        <v>0</v>
      </c>
      <c r="I109" s="122">
        <f t="shared" si="13"/>
        <v>0</v>
      </c>
      <c r="J109" s="54">
        <f t="shared" si="14"/>
        <v>0</v>
      </c>
      <c r="K109" s="54"/>
      <c r="L109" s="115"/>
      <c r="M109" s="54">
        <f t="shared" si="9"/>
        <v>0</v>
      </c>
      <c r="N109" s="115"/>
      <c r="O109" s="54">
        <f t="shared" si="10"/>
        <v>0</v>
      </c>
      <c r="P109" s="54">
        <f t="shared" si="11"/>
        <v>0</v>
      </c>
    </row>
    <row r="110" spans="1:16" ht="12.5">
      <c r="B110" s="7" t="str">
        <f t="shared" si="15"/>
        <v/>
      </c>
      <c r="C110" s="50">
        <f>IF(D93="","-",+C109+1)</f>
        <v>2037</v>
      </c>
      <c r="D110" s="12">
        <f>IF(F109+SUM(E$99:E109)=D$92,F109,D$92-SUM(E$99:E109))</f>
        <v>0</v>
      </c>
      <c r="E110" s="56">
        <f t="shared" si="16"/>
        <v>0</v>
      </c>
      <c r="F110" s="55">
        <f t="shared" si="17"/>
        <v>0</v>
      </c>
      <c r="G110" s="55">
        <f t="shared" si="18"/>
        <v>0</v>
      </c>
      <c r="H110" s="113">
        <f t="shared" si="12"/>
        <v>0</v>
      </c>
      <c r="I110" s="122">
        <f t="shared" si="13"/>
        <v>0</v>
      </c>
      <c r="J110" s="54">
        <f t="shared" si="14"/>
        <v>0</v>
      </c>
      <c r="K110" s="54"/>
      <c r="L110" s="115"/>
      <c r="M110" s="54">
        <f t="shared" si="9"/>
        <v>0</v>
      </c>
      <c r="N110" s="115"/>
      <c r="O110" s="54">
        <f t="shared" si="10"/>
        <v>0</v>
      </c>
      <c r="P110" s="54">
        <f t="shared" si="11"/>
        <v>0</v>
      </c>
    </row>
    <row r="111" spans="1:16" ht="12.5">
      <c r="B111" s="7" t="str">
        <f t="shared" si="15"/>
        <v/>
      </c>
      <c r="C111" s="50">
        <f>IF(D93="","-",+C110+1)</f>
        <v>2038</v>
      </c>
      <c r="D111" s="12">
        <f>IF(F110+SUM(E$99:E110)=D$92,F110,D$92-SUM(E$99:E110))</f>
        <v>0</v>
      </c>
      <c r="E111" s="56">
        <f t="shared" si="16"/>
        <v>0</v>
      </c>
      <c r="F111" s="55">
        <f t="shared" si="17"/>
        <v>0</v>
      </c>
      <c r="G111" s="55">
        <f t="shared" si="18"/>
        <v>0</v>
      </c>
      <c r="H111" s="113">
        <f t="shared" si="12"/>
        <v>0</v>
      </c>
      <c r="I111" s="122">
        <f t="shared" si="13"/>
        <v>0</v>
      </c>
      <c r="J111" s="54">
        <f t="shared" si="14"/>
        <v>0</v>
      </c>
      <c r="K111" s="54"/>
      <c r="L111" s="115"/>
      <c r="M111" s="54">
        <f t="shared" si="9"/>
        <v>0</v>
      </c>
      <c r="N111" s="115"/>
      <c r="O111" s="54">
        <f t="shared" si="10"/>
        <v>0</v>
      </c>
      <c r="P111" s="54">
        <f t="shared" si="11"/>
        <v>0</v>
      </c>
    </row>
    <row r="112" spans="1:16" ht="12.5">
      <c r="B112" s="7" t="str">
        <f t="shared" si="15"/>
        <v/>
      </c>
      <c r="C112" s="50">
        <f>IF(D93="","-",+C111+1)</f>
        <v>2039</v>
      </c>
      <c r="D112" s="12">
        <f>IF(F111+SUM(E$99:E111)=D$92,F111,D$92-SUM(E$99:E111))</f>
        <v>0</v>
      </c>
      <c r="E112" s="56">
        <f t="shared" si="16"/>
        <v>0</v>
      </c>
      <c r="F112" s="55">
        <f t="shared" si="17"/>
        <v>0</v>
      </c>
      <c r="G112" s="55">
        <f t="shared" si="18"/>
        <v>0</v>
      </c>
      <c r="H112" s="113">
        <f t="shared" si="12"/>
        <v>0</v>
      </c>
      <c r="I112" s="122">
        <f t="shared" si="13"/>
        <v>0</v>
      </c>
      <c r="J112" s="54">
        <f t="shared" si="14"/>
        <v>0</v>
      </c>
      <c r="K112" s="54"/>
      <c r="L112" s="115"/>
      <c r="M112" s="54">
        <f t="shared" si="9"/>
        <v>0</v>
      </c>
      <c r="N112" s="115"/>
      <c r="O112" s="54">
        <f t="shared" si="10"/>
        <v>0</v>
      </c>
      <c r="P112" s="54">
        <f t="shared" si="11"/>
        <v>0</v>
      </c>
    </row>
    <row r="113" spans="2:16" ht="12.5">
      <c r="B113" s="7" t="str">
        <f t="shared" si="15"/>
        <v/>
      </c>
      <c r="C113" s="50">
        <f>IF(D93="","-",+C112+1)</f>
        <v>2040</v>
      </c>
      <c r="D113" s="12">
        <f>IF(F112+SUM(E$99:E112)=D$92,F112,D$92-SUM(E$99:E112))</f>
        <v>0</v>
      </c>
      <c r="E113" s="56">
        <f t="shared" si="16"/>
        <v>0</v>
      </c>
      <c r="F113" s="55">
        <f t="shared" si="17"/>
        <v>0</v>
      </c>
      <c r="G113" s="55">
        <f t="shared" si="18"/>
        <v>0</v>
      </c>
      <c r="H113" s="113">
        <f t="shared" si="12"/>
        <v>0</v>
      </c>
      <c r="I113" s="122">
        <f t="shared" si="13"/>
        <v>0</v>
      </c>
      <c r="J113" s="54">
        <f t="shared" si="14"/>
        <v>0</v>
      </c>
      <c r="K113" s="54"/>
      <c r="L113" s="115"/>
      <c r="M113" s="54">
        <f t="shared" si="9"/>
        <v>0</v>
      </c>
      <c r="N113" s="115"/>
      <c r="O113" s="54">
        <f t="shared" si="10"/>
        <v>0</v>
      </c>
      <c r="P113" s="54">
        <f t="shared" si="11"/>
        <v>0</v>
      </c>
    </row>
    <row r="114" spans="2:16" ht="12.5">
      <c r="B114" s="7" t="str">
        <f t="shared" si="15"/>
        <v/>
      </c>
      <c r="C114" s="50">
        <f>IF(D93="","-",+C113+1)</f>
        <v>2041</v>
      </c>
      <c r="D114" s="12">
        <f>IF(F113+SUM(E$99:E113)=D$92,F113,D$92-SUM(E$99:E113))</f>
        <v>0</v>
      </c>
      <c r="E114" s="56">
        <f t="shared" si="16"/>
        <v>0</v>
      </c>
      <c r="F114" s="55">
        <f t="shared" si="17"/>
        <v>0</v>
      </c>
      <c r="G114" s="55">
        <f t="shared" si="18"/>
        <v>0</v>
      </c>
      <c r="H114" s="113">
        <f t="shared" si="12"/>
        <v>0</v>
      </c>
      <c r="I114" s="122">
        <f t="shared" si="13"/>
        <v>0</v>
      </c>
      <c r="J114" s="54">
        <f t="shared" si="14"/>
        <v>0</v>
      </c>
      <c r="K114" s="54"/>
      <c r="L114" s="115"/>
      <c r="M114" s="54">
        <f t="shared" si="9"/>
        <v>0</v>
      </c>
      <c r="N114" s="115"/>
      <c r="O114" s="54">
        <f t="shared" si="10"/>
        <v>0</v>
      </c>
      <c r="P114" s="54">
        <f t="shared" si="11"/>
        <v>0</v>
      </c>
    </row>
    <row r="115" spans="2:16" ht="12.5">
      <c r="B115" s="7" t="str">
        <f t="shared" si="15"/>
        <v/>
      </c>
      <c r="C115" s="50">
        <f>IF(D93="","-",+C114+1)</f>
        <v>2042</v>
      </c>
      <c r="D115" s="12">
        <f>IF(F114+SUM(E$99:E114)=D$92,F114,D$92-SUM(E$99:E114))</f>
        <v>0</v>
      </c>
      <c r="E115" s="56">
        <f t="shared" si="16"/>
        <v>0</v>
      </c>
      <c r="F115" s="55">
        <f t="shared" si="17"/>
        <v>0</v>
      </c>
      <c r="G115" s="55">
        <f t="shared" si="18"/>
        <v>0</v>
      </c>
      <c r="H115" s="113">
        <f t="shared" si="12"/>
        <v>0</v>
      </c>
      <c r="I115" s="122">
        <f t="shared" si="13"/>
        <v>0</v>
      </c>
      <c r="J115" s="54">
        <f t="shared" si="14"/>
        <v>0</v>
      </c>
      <c r="K115" s="54"/>
      <c r="L115" s="115"/>
      <c r="M115" s="54">
        <f t="shared" si="9"/>
        <v>0</v>
      </c>
      <c r="N115" s="115"/>
      <c r="O115" s="54">
        <f t="shared" si="10"/>
        <v>0</v>
      </c>
      <c r="P115" s="54">
        <f t="shared" si="11"/>
        <v>0</v>
      </c>
    </row>
    <row r="116" spans="2:16" ht="12.5">
      <c r="B116" s="7" t="str">
        <f t="shared" si="15"/>
        <v/>
      </c>
      <c r="C116" s="50">
        <f>IF(D93="","-",+C115+1)</f>
        <v>2043</v>
      </c>
      <c r="D116" s="12">
        <f>IF(F115+SUM(E$99:E115)=D$92,F115,D$92-SUM(E$99:E115))</f>
        <v>0</v>
      </c>
      <c r="E116" s="56">
        <f t="shared" si="16"/>
        <v>0</v>
      </c>
      <c r="F116" s="55">
        <f t="shared" si="17"/>
        <v>0</v>
      </c>
      <c r="G116" s="55">
        <f t="shared" si="18"/>
        <v>0</v>
      </c>
      <c r="H116" s="113">
        <f t="shared" si="12"/>
        <v>0</v>
      </c>
      <c r="I116" s="122">
        <f t="shared" si="13"/>
        <v>0</v>
      </c>
      <c r="J116" s="54">
        <f t="shared" si="14"/>
        <v>0</v>
      </c>
      <c r="K116" s="54"/>
      <c r="L116" s="115"/>
      <c r="M116" s="54">
        <f t="shared" si="9"/>
        <v>0</v>
      </c>
      <c r="N116" s="115"/>
      <c r="O116" s="54">
        <f t="shared" si="10"/>
        <v>0</v>
      </c>
      <c r="P116" s="54">
        <f t="shared" si="11"/>
        <v>0</v>
      </c>
    </row>
    <row r="117" spans="2:16" ht="12.5">
      <c r="B117" s="7" t="str">
        <f t="shared" si="15"/>
        <v/>
      </c>
      <c r="C117" s="50">
        <f>IF(D93="","-",+C116+1)</f>
        <v>2044</v>
      </c>
      <c r="D117" s="12">
        <f>IF(F116+SUM(E$99:E116)=D$92,F116,D$92-SUM(E$99:E116))</f>
        <v>0</v>
      </c>
      <c r="E117" s="56">
        <f t="shared" si="16"/>
        <v>0</v>
      </c>
      <c r="F117" s="55">
        <f t="shared" si="17"/>
        <v>0</v>
      </c>
      <c r="G117" s="55">
        <f t="shared" si="18"/>
        <v>0</v>
      </c>
      <c r="H117" s="113">
        <f t="shared" si="12"/>
        <v>0</v>
      </c>
      <c r="I117" s="122">
        <f t="shared" si="13"/>
        <v>0</v>
      </c>
      <c r="J117" s="54">
        <f t="shared" si="14"/>
        <v>0</v>
      </c>
      <c r="K117" s="54"/>
      <c r="L117" s="115"/>
      <c r="M117" s="54">
        <f t="shared" si="9"/>
        <v>0</v>
      </c>
      <c r="N117" s="115"/>
      <c r="O117" s="54">
        <f t="shared" si="10"/>
        <v>0</v>
      </c>
      <c r="P117" s="54">
        <f t="shared" si="11"/>
        <v>0</v>
      </c>
    </row>
    <row r="118" spans="2:16" ht="12.5">
      <c r="B118" s="7" t="str">
        <f t="shared" si="15"/>
        <v/>
      </c>
      <c r="C118" s="50">
        <f>IF(D93="","-",+C117+1)</f>
        <v>2045</v>
      </c>
      <c r="D118" s="12">
        <f>IF(F117+SUM(E$99:E117)=D$92,F117,D$92-SUM(E$99:E117))</f>
        <v>0</v>
      </c>
      <c r="E118" s="56">
        <f t="shared" si="16"/>
        <v>0</v>
      </c>
      <c r="F118" s="55">
        <f t="shared" si="17"/>
        <v>0</v>
      </c>
      <c r="G118" s="55">
        <f t="shared" si="18"/>
        <v>0</v>
      </c>
      <c r="H118" s="113">
        <f t="shared" si="12"/>
        <v>0</v>
      </c>
      <c r="I118" s="122">
        <f t="shared" si="13"/>
        <v>0</v>
      </c>
      <c r="J118" s="54">
        <f t="shared" si="14"/>
        <v>0</v>
      </c>
      <c r="K118" s="54"/>
      <c r="L118" s="115"/>
      <c r="M118" s="54">
        <f t="shared" si="9"/>
        <v>0</v>
      </c>
      <c r="N118" s="115"/>
      <c r="O118" s="54">
        <f t="shared" si="10"/>
        <v>0</v>
      </c>
      <c r="P118" s="54">
        <f t="shared" si="11"/>
        <v>0</v>
      </c>
    </row>
    <row r="119" spans="2:16" ht="12.5">
      <c r="B119" s="7" t="str">
        <f t="shared" si="15"/>
        <v/>
      </c>
      <c r="C119" s="50">
        <f>IF(D93="","-",+C118+1)</f>
        <v>2046</v>
      </c>
      <c r="D119" s="12">
        <f>IF(F118+SUM(E$99:E118)=D$92,F118,D$92-SUM(E$99:E118))</f>
        <v>0</v>
      </c>
      <c r="E119" s="56">
        <f t="shared" si="16"/>
        <v>0</v>
      </c>
      <c r="F119" s="55">
        <f t="shared" si="17"/>
        <v>0</v>
      </c>
      <c r="G119" s="55">
        <f t="shared" si="18"/>
        <v>0</v>
      </c>
      <c r="H119" s="113">
        <f t="shared" si="12"/>
        <v>0</v>
      </c>
      <c r="I119" s="122">
        <f t="shared" si="13"/>
        <v>0</v>
      </c>
      <c r="J119" s="54">
        <f t="shared" si="14"/>
        <v>0</v>
      </c>
      <c r="K119" s="54"/>
      <c r="L119" s="115"/>
      <c r="M119" s="54">
        <f t="shared" si="9"/>
        <v>0</v>
      </c>
      <c r="N119" s="115"/>
      <c r="O119" s="54">
        <f t="shared" si="10"/>
        <v>0</v>
      </c>
      <c r="P119" s="54">
        <f t="shared" si="11"/>
        <v>0</v>
      </c>
    </row>
    <row r="120" spans="2:16" ht="12.5">
      <c r="B120" s="7" t="str">
        <f t="shared" si="15"/>
        <v/>
      </c>
      <c r="C120" s="50">
        <f>IF(D93="","-",+C119+1)</f>
        <v>2047</v>
      </c>
      <c r="D120" s="12">
        <f>IF(F119+SUM(E$99:E119)=D$92,F119,D$92-SUM(E$99:E119))</f>
        <v>0</v>
      </c>
      <c r="E120" s="56">
        <f t="shared" si="16"/>
        <v>0</v>
      </c>
      <c r="F120" s="55">
        <f t="shared" si="17"/>
        <v>0</v>
      </c>
      <c r="G120" s="55">
        <f t="shared" si="18"/>
        <v>0</v>
      </c>
      <c r="H120" s="113">
        <f t="shared" si="12"/>
        <v>0</v>
      </c>
      <c r="I120" s="122">
        <f t="shared" si="13"/>
        <v>0</v>
      </c>
      <c r="J120" s="54">
        <f t="shared" si="14"/>
        <v>0</v>
      </c>
      <c r="K120" s="54"/>
      <c r="L120" s="115"/>
      <c r="M120" s="54">
        <f t="shared" si="9"/>
        <v>0</v>
      </c>
      <c r="N120" s="115"/>
      <c r="O120" s="54">
        <f t="shared" si="10"/>
        <v>0</v>
      </c>
      <c r="P120" s="54">
        <f t="shared" si="11"/>
        <v>0</v>
      </c>
    </row>
    <row r="121" spans="2:16" ht="12.5">
      <c r="B121" s="7" t="str">
        <f t="shared" si="15"/>
        <v/>
      </c>
      <c r="C121" s="50">
        <f>IF(D93="","-",+C120+1)</f>
        <v>2048</v>
      </c>
      <c r="D121" s="12">
        <f>IF(F120+SUM(E$99:E120)=D$92,F120,D$92-SUM(E$99:E120))</f>
        <v>0</v>
      </c>
      <c r="E121" s="56">
        <f t="shared" si="16"/>
        <v>0</v>
      </c>
      <c r="F121" s="55">
        <f t="shared" si="17"/>
        <v>0</v>
      </c>
      <c r="G121" s="55">
        <f t="shared" si="18"/>
        <v>0</v>
      </c>
      <c r="H121" s="113">
        <f t="shared" si="12"/>
        <v>0</v>
      </c>
      <c r="I121" s="122">
        <f t="shared" si="13"/>
        <v>0</v>
      </c>
      <c r="J121" s="54">
        <f t="shared" si="14"/>
        <v>0</v>
      </c>
      <c r="K121" s="54"/>
      <c r="L121" s="115"/>
      <c r="M121" s="54">
        <f t="shared" si="9"/>
        <v>0</v>
      </c>
      <c r="N121" s="115"/>
      <c r="O121" s="54">
        <f t="shared" si="10"/>
        <v>0</v>
      </c>
      <c r="P121" s="54">
        <f t="shared" si="11"/>
        <v>0</v>
      </c>
    </row>
    <row r="122" spans="2:16" ht="12.5">
      <c r="B122" s="7" t="str">
        <f t="shared" si="15"/>
        <v/>
      </c>
      <c r="C122" s="50">
        <f>IF(D93="","-",+C121+1)</f>
        <v>2049</v>
      </c>
      <c r="D122" s="12">
        <f>IF(F121+SUM(E$99:E121)=D$92,F121,D$92-SUM(E$99:E121))</f>
        <v>0</v>
      </c>
      <c r="E122" s="56">
        <f t="shared" si="16"/>
        <v>0</v>
      </c>
      <c r="F122" s="55">
        <f t="shared" si="17"/>
        <v>0</v>
      </c>
      <c r="G122" s="55">
        <f t="shared" si="18"/>
        <v>0</v>
      </c>
      <c r="H122" s="113">
        <f t="shared" si="12"/>
        <v>0</v>
      </c>
      <c r="I122" s="122">
        <f t="shared" si="13"/>
        <v>0</v>
      </c>
      <c r="J122" s="54">
        <f t="shared" si="14"/>
        <v>0</v>
      </c>
      <c r="K122" s="54"/>
      <c r="L122" s="115"/>
      <c r="M122" s="54">
        <f t="shared" si="9"/>
        <v>0</v>
      </c>
      <c r="N122" s="115"/>
      <c r="O122" s="54">
        <f t="shared" si="10"/>
        <v>0</v>
      </c>
      <c r="P122" s="54">
        <f t="shared" si="11"/>
        <v>0</v>
      </c>
    </row>
    <row r="123" spans="2:16" ht="12.5">
      <c r="B123" s="7" t="str">
        <f t="shared" si="15"/>
        <v/>
      </c>
      <c r="C123" s="50">
        <f>IF(D93="","-",+C122+1)</f>
        <v>2050</v>
      </c>
      <c r="D123" s="12">
        <f>IF(F122+SUM(E$99:E122)=D$92,F122,D$92-SUM(E$99:E122))</f>
        <v>0</v>
      </c>
      <c r="E123" s="56">
        <f t="shared" si="16"/>
        <v>0</v>
      </c>
      <c r="F123" s="55">
        <f t="shared" si="17"/>
        <v>0</v>
      </c>
      <c r="G123" s="55">
        <f t="shared" si="18"/>
        <v>0</v>
      </c>
      <c r="H123" s="113">
        <f t="shared" si="12"/>
        <v>0</v>
      </c>
      <c r="I123" s="122">
        <f t="shared" si="13"/>
        <v>0</v>
      </c>
      <c r="J123" s="54">
        <f t="shared" si="14"/>
        <v>0</v>
      </c>
      <c r="K123" s="54"/>
      <c r="L123" s="115"/>
      <c r="M123" s="54">
        <f t="shared" si="9"/>
        <v>0</v>
      </c>
      <c r="N123" s="115"/>
      <c r="O123" s="54">
        <f t="shared" si="10"/>
        <v>0</v>
      </c>
      <c r="P123" s="54">
        <f t="shared" si="11"/>
        <v>0</v>
      </c>
    </row>
    <row r="124" spans="2:16" ht="12.5">
      <c r="B124" s="7" t="str">
        <f t="shared" si="15"/>
        <v/>
      </c>
      <c r="C124" s="50">
        <f>IF(D93="","-",+C123+1)</f>
        <v>2051</v>
      </c>
      <c r="D124" s="12">
        <f>IF(F123+SUM(E$99:E123)=D$92,F123,D$92-SUM(E$99:E123))</f>
        <v>0</v>
      </c>
      <c r="E124" s="56">
        <f t="shared" si="16"/>
        <v>0</v>
      </c>
      <c r="F124" s="55">
        <f t="shared" si="17"/>
        <v>0</v>
      </c>
      <c r="G124" s="55">
        <f t="shared" si="18"/>
        <v>0</v>
      </c>
      <c r="H124" s="113">
        <f t="shared" si="12"/>
        <v>0</v>
      </c>
      <c r="I124" s="122">
        <f t="shared" si="13"/>
        <v>0</v>
      </c>
      <c r="J124" s="54">
        <f t="shared" si="14"/>
        <v>0</v>
      </c>
      <c r="K124" s="54"/>
      <c r="L124" s="115"/>
      <c r="M124" s="54">
        <f t="shared" si="9"/>
        <v>0</v>
      </c>
      <c r="N124" s="115"/>
      <c r="O124" s="54">
        <f t="shared" si="10"/>
        <v>0</v>
      </c>
      <c r="P124" s="54">
        <f t="shared" si="11"/>
        <v>0</v>
      </c>
    </row>
    <row r="125" spans="2:16" ht="12.5">
      <c r="B125" s="7" t="str">
        <f t="shared" si="15"/>
        <v/>
      </c>
      <c r="C125" s="50">
        <f>IF(D93="","-",+C124+1)</f>
        <v>2052</v>
      </c>
      <c r="D125" s="12">
        <f>IF(F124+SUM(E$99:E124)=D$92,F124,D$92-SUM(E$99:E124))</f>
        <v>0</v>
      </c>
      <c r="E125" s="56">
        <f t="shared" si="16"/>
        <v>0</v>
      </c>
      <c r="F125" s="55">
        <f t="shared" si="17"/>
        <v>0</v>
      </c>
      <c r="G125" s="55">
        <f t="shared" si="18"/>
        <v>0</v>
      </c>
      <c r="H125" s="113">
        <f t="shared" si="12"/>
        <v>0</v>
      </c>
      <c r="I125" s="122">
        <f t="shared" si="13"/>
        <v>0</v>
      </c>
      <c r="J125" s="54">
        <f t="shared" si="14"/>
        <v>0</v>
      </c>
      <c r="K125" s="54"/>
      <c r="L125" s="115"/>
      <c r="M125" s="54">
        <f t="shared" si="9"/>
        <v>0</v>
      </c>
      <c r="N125" s="115"/>
      <c r="O125" s="54">
        <f t="shared" si="10"/>
        <v>0</v>
      </c>
      <c r="P125" s="54">
        <f t="shared" si="11"/>
        <v>0</v>
      </c>
    </row>
    <row r="126" spans="2:16" ht="12.5">
      <c r="B126" s="7" t="str">
        <f t="shared" si="15"/>
        <v/>
      </c>
      <c r="C126" s="50">
        <f>IF(D93="","-",+C125+1)</f>
        <v>2053</v>
      </c>
      <c r="D126" s="12">
        <f>IF(F125+SUM(E$99:E125)=D$92,F125,D$92-SUM(E$99:E125))</f>
        <v>0</v>
      </c>
      <c r="E126" s="56">
        <f t="shared" si="16"/>
        <v>0</v>
      </c>
      <c r="F126" s="55">
        <f t="shared" si="17"/>
        <v>0</v>
      </c>
      <c r="G126" s="55">
        <f t="shared" si="18"/>
        <v>0</v>
      </c>
      <c r="H126" s="113">
        <f t="shared" si="12"/>
        <v>0</v>
      </c>
      <c r="I126" s="122">
        <f t="shared" si="13"/>
        <v>0</v>
      </c>
      <c r="J126" s="54">
        <f t="shared" si="14"/>
        <v>0</v>
      </c>
      <c r="K126" s="54"/>
      <c r="L126" s="115"/>
      <c r="M126" s="54">
        <f t="shared" si="9"/>
        <v>0</v>
      </c>
      <c r="N126" s="115"/>
      <c r="O126" s="54">
        <f t="shared" si="10"/>
        <v>0</v>
      </c>
      <c r="P126" s="54">
        <f t="shared" si="11"/>
        <v>0</v>
      </c>
    </row>
    <row r="127" spans="2:16" ht="12.5">
      <c r="B127" s="7" t="str">
        <f t="shared" si="15"/>
        <v/>
      </c>
      <c r="C127" s="50">
        <f>IF(D93="","-",+C126+1)</f>
        <v>2054</v>
      </c>
      <c r="D127" s="12">
        <f>IF(F126+SUM(E$99:E126)=D$92,F126,D$92-SUM(E$99:E126))</f>
        <v>0</v>
      </c>
      <c r="E127" s="56">
        <f t="shared" si="16"/>
        <v>0</v>
      </c>
      <c r="F127" s="55">
        <f t="shared" si="17"/>
        <v>0</v>
      </c>
      <c r="G127" s="55">
        <f t="shared" si="18"/>
        <v>0</v>
      </c>
      <c r="H127" s="113">
        <f t="shared" si="12"/>
        <v>0</v>
      </c>
      <c r="I127" s="122">
        <f t="shared" si="13"/>
        <v>0</v>
      </c>
      <c r="J127" s="54">
        <f t="shared" si="14"/>
        <v>0</v>
      </c>
      <c r="K127" s="54"/>
      <c r="L127" s="115"/>
      <c r="M127" s="54">
        <f t="shared" si="9"/>
        <v>0</v>
      </c>
      <c r="N127" s="115"/>
      <c r="O127" s="54">
        <f t="shared" si="10"/>
        <v>0</v>
      </c>
      <c r="P127" s="54">
        <f t="shared" si="11"/>
        <v>0</v>
      </c>
    </row>
    <row r="128" spans="2:16" ht="12.5">
      <c r="B128" s="7" t="str">
        <f t="shared" si="15"/>
        <v/>
      </c>
      <c r="C128" s="50">
        <f>IF(D93="","-",+C127+1)</f>
        <v>2055</v>
      </c>
      <c r="D128" s="12">
        <f>IF(F127+SUM(E$99:E127)=D$92,F127,D$92-SUM(E$99:E127))</f>
        <v>0</v>
      </c>
      <c r="E128" s="56">
        <f t="shared" si="16"/>
        <v>0</v>
      </c>
      <c r="F128" s="55">
        <f t="shared" si="17"/>
        <v>0</v>
      </c>
      <c r="G128" s="55">
        <f t="shared" si="18"/>
        <v>0</v>
      </c>
      <c r="H128" s="113">
        <f t="shared" si="12"/>
        <v>0</v>
      </c>
      <c r="I128" s="122">
        <f t="shared" si="13"/>
        <v>0</v>
      </c>
      <c r="J128" s="54">
        <f t="shared" si="14"/>
        <v>0</v>
      </c>
      <c r="K128" s="54"/>
      <c r="L128" s="115"/>
      <c r="M128" s="54">
        <f t="shared" si="9"/>
        <v>0</v>
      </c>
      <c r="N128" s="115"/>
      <c r="O128" s="54">
        <f t="shared" si="10"/>
        <v>0</v>
      </c>
      <c r="P128" s="54">
        <f t="shared" si="11"/>
        <v>0</v>
      </c>
    </row>
    <row r="129" spans="2:16" ht="12.5">
      <c r="B129" s="7" t="str">
        <f t="shared" si="15"/>
        <v/>
      </c>
      <c r="C129" s="50">
        <f>IF(D93="","-",+C128+1)</f>
        <v>2056</v>
      </c>
      <c r="D129" s="12">
        <f>IF(F128+SUM(E$99:E128)=D$92,F128,D$92-SUM(E$99:E128))</f>
        <v>0</v>
      </c>
      <c r="E129" s="56">
        <f t="shared" si="16"/>
        <v>0</v>
      </c>
      <c r="F129" s="55">
        <f t="shared" si="17"/>
        <v>0</v>
      </c>
      <c r="G129" s="55">
        <f t="shared" si="18"/>
        <v>0</v>
      </c>
      <c r="H129" s="113">
        <f t="shared" si="12"/>
        <v>0</v>
      </c>
      <c r="I129" s="122">
        <f t="shared" si="13"/>
        <v>0</v>
      </c>
      <c r="J129" s="54">
        <f t="shared" si="14"/>
        <v>0</v>
      </c>
      <c r="K129" s="54"/>
      <c r="L129" s="115"/>
      <c r="M129" s="54">
        <f t="shared" si="9"/>
        <v>0</v>
      </c>
      <c r="N129" s="115"/>
      <c r="O129" s="54">
        <f t="shared" si="10"/>
        <v>0</v>
      </c>
      <c r="P129" s="54">
        <f t="shared" si="11"/>
        <v>0</v>
      </c>
    </row>
    <row r="130" spans="2:16" ht="12.5">
      <c r="B130" s="7" t="str">
        <f t="shared" si="15"/>
        <v/>
      </c>
      <c r="C130" s="50">
        <f>IF(D93="","-",+C129+1)</f>
        <v>2057</v>
      </c>
      <c r="D130" s="12">
        <f>IF(F129+SUM(E$99:E129)=D$92,F129,D$92-SUM(E$99:E129))</f>
        <v>0</v>
      </c>
      <c r="E130" s="56">
        <f t="shared" si="16"/>
        <v>0</v>
      </c>
      <c r="F130" s="55">
        <f t="shared" si="17"/>
        <v>0</v>
      </c>
      <c r="G130" s="55">
        <f t="shared" si="18"/>
        <v>0</v>
      </c>
      <c r="H130" s="113">
        <f t="shared" si="12"/>
        <v>0</v>
      </c>
      <c r="I130" s="122">
        <f t="shared" si="13"/>
        <v>0</v>
      </c>
      <c r="J130" s="54">
        <f t="shared" si="14"/>
        <v>0</v>
      </c>
      <c r="K130" s="54"/>
      <c r="L130" s="115"/>
      <c r="M130" s="54">
        <f t="shared" si="9"/>
        <v>0</v>
      </c>
      <c r="N130" s="115"/>
      <c r="O130" s="54">
        <f t="shared" si="10"/>
        <v>0</v>
      </c>
      <c r="P130" s="54">
        <f t="shared" si="11"/>
        <v>0</v>
      </c>
    </row>
    <row r="131" spans="2:16" ht="12.5">
      <c r="B131" s="7" t="str">
        <f t="shared" si="15"/>
        <v/>
      </c>
      <c r="C131" s="50">
        <f>IF(D93="","-",+C130+1)</f>
        <v>2058</v>
      </c>
      <c r="D131" s="12">
        <f>IF(F130+SUM(E$99:E130)=D$92,F130,D$92-SUM(E$99:E130))</f>
        <v>0</v>
      </c>
      <c r="E131" s="56">
        <f t="shared" si="16"/>
        <v>0</v>
      </c>
      <c r="F131" s="55">
        <f t="shared" si="17"/>
        <v>0</v>
      </c>
      <c r="G131" s="55">
        <f t="shared" si="18"/>
        <v>0</v>
      </c>
      <c r="H131" s="113">
        <f t="shared" si="12"/>
        <v>0</v>
      </c>
      <c r="I131" s="122">
        <f t="shared" si="13"/>
        <v>0</v>
      </c>
      <c r="J131" s="54">
        <f t="shared" ref="J131:J154" si="19">+I540-H540</f>
        <v>0</v>
      </c>
      <c r="K131" s="54"/>
      <c r="L131" s="115"/>
      <c r="M131" s="54">
        <f t="shared" ref="M131:M154" si="20">IF(L540&lt;&gt;0,+H540-L540,0)</f>
        <v>0</v>
      </c>
      <c r="N131" s="115"/>
      <c r="O131" s="54">
        <f t="shared" ref="O131:O154" si="21">IF(N540&lt;&gt;0,+I540-N540,0)</f>
        <v>0</v>
      </c>
      <c r="P131" s="54">
        <f t="shared" ref="P131:P154" si="22">+O540-M540</f>
        <v>0</v>
      </c>
    </row>
    <row r="132" spans="2:16" ht="12.5">
      <c r="B132" s="7" t="str">
        <f t="shared" si="15"/>
        <v/>
      </c>
      <c r="C132" s="50">
        <f>IF(D93="","-",+C131+1)</f>
        <v>2059</v>
      </c>
      <c r="D132" s="12">
        <f>IF(F131+SUM(E$99:E131)=D$92,F131,D$92-SUM(E$99:E131))</f>
        <v>0</v>
      </c>
      <c r="E132" s="56">
        <f t="shared" si="16"/>
        <v>0</v>
      </c>
      <c r="F132" s="55">
        <f t="shared" si="17"/>
        <v>0</v>
      </c>
      <c r="G132" s="55">
        <f t="shared" si="18"/>
        <v>0</v>
      </c>
      <c r="H132" s="113">
        <f t="shared" si="12"/>
        <v>0</v>
      </c>
      <c r="I132" s="122">
        <f t="shared" si="13"/>
        <v>0</v>
      </c>
      <c r="J132" s="54">
        <f t="shared" si="19"/>
        <v>0</v>
      </c>
      <c r="K132" s="54"/>
      <c r="L132" s="115"/>
      <c r="M132" s="54">
        <f t="shared" si="20"/>
        <v>0</v>
      </c>
      <c r="N132" s="115"/>
      <c r="O132" s="54">
        <f t="shared" si="21"/>
        <v>0</v>
      </c>
      <c r="P132" s="54">
        <f t="shared" si="22"/>
        <v>0</v>
      </c>
    </row>
    <row r="133" spans="2:16" ht="12.5">
      <c r="B133" s="7" t="str">
        <f t="shared" si="15"/>
        <v/>
      </c>
      <c r="C133" s="50">
        <f>IF(D93="","-",+C132+1)</f>
        <v>2060</v>
      </c>
      <c r="D133" s="12">
        <f>IF(F132+SUM(E$99:E132)=D$92,F132,D$92-SUM(E$99:E132))</f>
        <v>0</v>
      </c>
      <c r="E133" s="56">
        <f t="shared" si="16"/>
        <v>0</v>
      </c>
      <c r="F133" s="55">
        <f t="shared" si="17"/>
        <v>0</v>
      </c>
      <c r="G133" s="55">
        <f t="shared" si="18"/>
        <v>0</v>
      </c>
      <c r="H133" s="113">
        <f t="shared" si="12"/>
        <v>0</v>
      </c>
      <c r="I133" s="122">
        <f t="shared" si="13"/>
        <v>0</v>
      </c>
      <c r="J133" s="54">
        <f t="shared" si="19"/>
        <v>0</v>
      </c>
      <c r="K133" s="54"/>
      <c r="L133" s="115"/>
      <c r="M133" s="54">
        <f t="shared" si="20"/>
        <v>0</v>
      </c>
      <c r="N133" s="115"/>
      <c r="O133" s="54">
        <f t="shared" si="21"/>
        <v>0</v>
      </c>
      <c r="P133" s="54">
        <f t="shared" si="22"/>
        <v>0</v>
      </c>
    </row>
    <row r="134" spans="2:16" ht="12.5">
      <c r="B134" s="7" t="str">
        <f t="shared" si="15"/>
        <v/>
      </c>
      <c r="C134" s="50">
        <f>IF(D93="","-",+C133+1)</f>
        <v>2061</v>
      </c>
      <c r="D134" s="12">
        <f>IF(F133+SUM(E$99:E133)=D$92,F133,D$92-SUM(E$99:E133))</f>
        <v>0</v>
      </c>
      <c r="E134" s="56">
        <f t="shared" si="16"/>
        <v>0</v>
      </c>
      <c r="F134" s="55">
        <f t="shared" si="17"/>
        <v>0</v>
      </c>
      <c r="G134" s="55">
        <f t="shared" si="18"/>
        <v>0</v>
      </c>
      <c r="H134" s="113">
        <f t="shared" si="12"/>
        <v>0</v>
      </c>
      <c r="I134" s="122">
        <f t="shared" si="13"/>
        <v>0</v>
      </c>
      <c r="J134" s="54">
        <f t="shared" si="19"/>
        <v>0</v>
      </c>
      <c r="K134" s="54"/>
      <c r="L134" s="115"/>
      <c r="M134" s="54">
        <f t="shared" si="20"/>
        <v>0</v>
      </c>
      <c r="N134" s="115"/>
      <c r="O134" s="54">
        <f t="shared" si="21"/>
        <v>0</v>
      </c>
      <c r="P134" s="54">
        <f t="shared" si="22"/>
        <v>0</v>
      </c>
    </row>
    <row r="135" spans="2:16" ht="12.5">
      <c r="B135" s="7" t="str">
        <f t="shared" si="15"/>
        <v/>
      </c>
      <c r="C135" s="50">
        <f>IF(D93="","-",+C134+1)</f>
        <v>2062</v>
      </c>
      <c r="D135" s="12">
        <f>IF(F134+SUM(E$99:E134)=D$92,F134,D$92-SUM(E$99:E134))</f>
        <v>0</v>
      </c>
      <c r="E135" s="56">
        <f t="shared" si="16"/>
        <v>0</v>
      </c>
      <c r="F135" s="55">
        <f t="shared" si="17"/>
        <v>0</v>
      </c>
      <c r="G135" s="55">
        <f t="shared" si="18"/>
        <v>0</v>
      </c>
      <c r="H135" s="113">
        <f t="shared" si="12"/>
        <v>0</v>
      </c>
      <c r="I135" s="122">
        <f t="shared" si="13"/>
        <v>0</v>
      </c>
      <c r="J135" s="54">
        <f t="shared" si="19"/>
        <v>0</v>
      </c>
      <c r="K135" s="54"/>
      <c r="L135" s="115"/>
      <c r="M135" s="54">
        <f t="shared" si="20"/>
        <v>0</v>
      </c>
      <c r="N135" s="115"/>
      <c r="O135" s="54">
        <f t="shared" si="21"/>
        <v>0</v>
      </c>
      <c r="P135" s="54">
        <f t="shared" si="22"/>
        <v>0</v>
      </c>
    </row>
    <row r="136" spans="2:16" ht="12.5">
      <c r="B136" s="7" t="str">
        <f t="shared" si="15"/>
        <v/>
      </c>
      <c r="C136" s="50">
        <f>IF(D93="","-",+C135+1)</f>
        <v>2063</v>
      </c>
      <c r="D136" s="12">
        <f>IF(F135+SUM(E$99:E135)=D$92,F135,D$92-SUM(E$99:E135))</f>
        <v>0</v>
      </c>
      <c r="E136" s="56">
        <f t="shared" si="16"/>
        <v>0</v>
      </c>
      <c r="F136" s="55">
        <f t="shared" si="17"/>
        <v>0</v>
      </c>
      <c r="G136" s="55">
        <f t="shared" si="18"/>
        <v>0</v>
      </c>
      <c r="H136" s="113">
        <f t="shared" si="12"/>
        <v>0</v>
      </c>
      <c r="I136" s="122">
        <f t="shared" si="13"/>
        <v>0</v>
      </c>
      <c r="J136" s="54">
        <f t="shared" si="19"/>
        <v>0</v>
      </c>
      <c r="K136" s="54"/>
      <c r="L136" s="115"/>
      <c r="M136" s="54">
        <f t="shared" si="20"/>
        <v>0</v>
      </c>
      <c r="N136" s="115"/>
      <c r="O136" s="54">
        <f t="shared" si="21"/>
        <v>0</v>
      </c>
      <c r="P136" s="54">
        <f t="shared" si="22"/>
        <v>0</v>
      </c>
    </row>
    <row r="137" spans="2:16" ht="12.5">
      <c r="B137" s="7" t="str">
        <f t="shared" si="15"/>
        <v/>
      </c>
      <c r="C137" s="50">
        <f>IF(D93="","-",+C136+1)</f>
        <v>2064</v>
      </c>
      <c r="D137" s="12">
        <f>IF(F136+SUM(E$99:E136)=D$92,F136,D$92-SUM(E$99:E136))</f>
        <v>0</v>
      </c>
      <c r="E137" s="56">
        <f t="shared" si="16"/>
        <v>0</v>
      </c>
      <c r="F137" s="55">
        <f t="shared" si="17"/>
        <v>0</v>
      </c>
      <c r="G137" s="55">
        <f t="shared" si="18"/>
        <v>0</v>
      </c>
      <c r="H137" s="113">
        <f t="shared" si="12"/>
        <v>0</v>
      </c>
      <c r="I137" s="122">
        <f t="shared" si="13"/>
        <v>0</v>
      </c>
      <c r="J137" s="54">
        <f t="shared" si="19"/>
        <v>0</v>
      </c>
      <c r="K137" s="54"/>
      <c r="L137" s="115"/>
      <c r="M137" s="54">
        <f t="shared" si="20"/>
        <v>0</v>
      </c>
      <c r="N137" s="115"/>
      <c r="O137" s="54">
        <f t="shared" si="21"/>
        <v>0</v>
      </c>
      <c r="P137" s="54">
        <f t="shared" si="22"/>
        <v>0</v>
      </c>
    </row>
    <row r="138" spans="2:16" ht="12.5">
      <c r="B138" s="7" t="str">
        <f t="shared" si="15"/>
        <v/>
      </c>
      <c r="C138" s="50">
        <f>IF(D93="","-",+C137+1)</f>
        <v>2065</v>
      </c>
      <c r="D138" s="12">
        <f>IF(F137+SUM(E$99:E137)=D$92,F137,D$92-SUM(E$99:E137))</f>
        <v>0</v>
      </c>
      <c r="E138" s="56">
        <f t="shared" si="16"/>
        <v>0</v>
      </c>
      <c r="F138" s="55">
        <f t="shared" si="17"/>
        <v>0</v>
      </c>
      <c r="G138" s="55">
        <f t="shared" si="18"/>
        <v>0</v>
      </c>
      <c r="H138" s="113">
        <f t="shared" si="12"/>
        <v>0</v>
      </c>
      <c r="I138" s="122">
        <f t="shared" si="13"/>
        <v>0</v>
      </c>
      <c r="J138" s="54">
        <f t="shared" si="19"/>
        <v>0</v>
      </c>
      <c r="K138" s="54"/>
      <c r="L138" s="115"/>
      <c r="M138" s="54">
        <f t="shared" si="20"/>
        <v>0</v>
      </c>
      <c r="N138" s="115"/>
      <c r="O138" s="54">
        <f t="shared" si="21"/>
        <v>0</v>
      </c>
      <c r="P138" s="54">
        <f t="shared" si="22"/>
        <v>0</v>
      </c>
    </row>
    <row r="139" spans="2:16" ht="12.5">
      <c r="B139" s="7" t="str">
        <f t="shared" si="15"/>
        <v/>
      </c>
      <c r="C139" s="50">
        <f>IF(D93="","-",+C138+1)</f>
        <v>2066</v>
      </c>
      <c r="D139" s="12">
        <f>IF(F138+SUM(E$99:E138)=D$92,F138,D$92-SUM(E$99:E138))</f>
        <v>0</v>
      </c>
      <c r="E139" s="56">
        <f t="shared" si="16"/>
        <v>0</v>
      </c>
      <c r="F139" s="55">
        <f t="shared" si="17"/>
        <v>0</v>
      </c>
      <c r="G139" s="55">
        <f t="shared" si="18"/>
        <v>0</v>
      </c>
      <c r="H139" s="113">
        <f t="shared" si="12"/>
        <v>0</v>
      </c>
      <c r="I139" s="122">
        <f t="shared" si="13"/>
        <v>0</v>
      </c>
      <c r="J139" s="54">
        <f t="shared" si="19"/>
        <v>0</v>
      </c>
      <c r="K139" s="54"/>
      <c r="L139" s="115"/>
      <c r="M139" s="54">
        <f t="shared" si="20"/>
        <v>0</v>
      </c>
      <c r="N139" s="115"/>
      <c r="O139" s="54">
        <f t="shared" si="21"/>
        <v>0</v>
      </c>
      <c r="P139" s="54">
        <f t="shared" si="22"/>
        <v>0</v>
      </c>
    </row>
    <row r="140" spans="2:16" ht="12.5">
      <c r="B140" s="7" t="str">
        <f t="shared" si="15"/>
        <v/>
      </c>
      <c r="C140" s="50">
        <f>IF(D93="","-",+C139+1)</f>
        <v>2067</v>
      </c>
      <c r="D140" s="12">
        <f>IF(F139+SUM(E$99:E139)=D$92,F139,D$92-SUM(E$99:E139))</f>
        <v>0</v>
      </c>
      <c r="E140" s="56">
        <f t="shared" si="16"/>
        <v>0</v>
      </c>
      <c r="F140" s="55">
        <f t="shared" si="17"/>
        <v>0</v>
      </c>
      <c r="G140" s="55">
        <f t="shared" si="18"/>
        <v>0</v>
      </c>
      <c r="H140" s="113">
        <f t="shared" si="12"/>
        <v>0</v>
      </c>
      <c r="I140" s="122">
        <f t="shared" si="13"/>
        <v>0</v>
      </c>
      <c r="J140" s="54">
        <f t="shared" si="19"/>
        <v>0</v>
      </c>
      <c r="K140" s="54"/>
      <c r="L140" s="115"/>
      <c r="M140" s="54">
        <f t="shared" si="20"/>
        <v>0</v>
      </c>
      <c r="N140" s="115"/>
      <c r="O140" s="54">
        <f t="shared" si="21"/>
        <v>0</v>
      </c>
      <c r="P140" s="54">
        <f t="shared" si="22"/>
        <v>0</v>
      </c>
    </row>
    <row r="141" spans="2:16" ht="12.5">
      <c r="B141" s="7" t="str">
        <f t="shared" si="15"/>
        <v/>
      </c>
      <c r="C141" s="50">
        <f>IF(D93="","-",+C140+1)</f>
        <v>2068</v>
      </c>
      <c r="D141" s="12">
        <f>IF(F140+SUM(E$99:E140)=D$92,F140,D$92-SUM(E$99:E140))</f>
        <v>0</v>
      </c>
      <c r="E141" s="56">
        <f t="shared" si="16"/>
        <v>0</v>
      </c>
      <c r="F141" s="55">
        <f t="shared" si="17"/>
        <v>0</v>
      </c>
      <c r="G141" s="55">
        <f t="shared" si="18"/>
        <v>0</v>
      </c>
      <c r="H141" s="113">
        <f t="shared" si="12"/>
        <v>0</v>
      </c>
      <c r="I141" s="122">
        <f t="shared" si="13"/>
        <v>0</v>
      </c>
      <c r="J141" s="54">
        <f t="shared" si="19"/>
        <v>0</v>
      </c>
      <c r="K141" s="54"/>
      <c r="L141" s="115"/>
      <c r="M141" s="54">
        <f t="shared" si="20"/>
        <v>0</v>
      </c>
      <c r="N141" s="115"/>
      <c r="O141" s="54">
        <f t="shared" si="21"/>
        <v>0</v>
      </c>
      <c r="P141" s="54">
        <f t="shared" si="22"/>
        <v>0</v>
      </c>
    </row>
    <row r="142" spans="2:16" ht="12.5">
      <c r="B142" s="7" t="str">
        <f t="shared" si="15"/>
        <v/>
      </c>
      <c r="C142" s="50">
        <f>IF(D93="","-",+C141+1)</f>
        <v>2069</v>
      </c>
      <c r="D142" s="12">
        <f>IF(F141+SUM(E$99:E141)=D$92,F141,D$92-SUM(E$99:E141))</f>
        <v>0</v>
      </c>
      <c r="E142" s="56">
        <f t="shared" si="16"/>
        <v>0</v>
      </c>
      <c r="F142" s="55">
        <f t="shared" si="17"/>
        <v>0</v>
      </c>
      <c r="G142" s="55">
        <f t="shared" si="18"/>
        <v>0</v>
      </c>
      <c r="H142" s="113">
        <f t="shared" si="12"/>
        <v>0</v>
      </c>
      <c r="I142" s="122">
        <f t="shared" si="13"/>
        <v>0</v>
      </c>
      <c r="J142" s="54">
        <f t="shared" si="19"/>
        <v>0</v>
      </c>
      <c r="K142" s="54"/>
      <c r="L142" s="115"/>
      <c r="M142" s="54">
        <f t="shared" si="20"/>
        <v>0</v>
      </c>
      <c r="N142" s="115"/>
      <c r="O142" s="54">
        <f t="shared" si="21"/>
        <v>0</v>
      </c>
      <c r="P142" s="54">
        <f t="shared" si="22"/>
        <v>0</v>
      </c>
    </row>
    <row r="143" spans="2:16" ht="12.5">
      <c r="B143" s="7" t="str">
        <f t="shared" si="15"/>
        <v/>
      </c>
      <c r="C143" s="50">
        <f>IF(D93="","-",+C142+1)</f>
        <v>2070</v>
      </c>
      <c r="D143" s="12">
        <f>IF(F142+SUM(E$99:E142)=D$92,F142,D$92-SUM(E$99:E142))</f>
        <v>0</v>
      </c>
      <c r="E143" s="56">
        <f t="shared" si="16"/>
        <v>0</v>
      </c>
      <c r="F143" s="55">
        <f t="shared" si="17"/>
        <v>0</v>
      </c>
      <c r="G143" s="55">
        <f t="shared" si="18"/>
        <v>0</v>
      </c>
      <c r="H143" s="113">
        <f t="shared" si="12"/>
        <v>0</v>
      </c>
      <c r="I143" s="122">
        <f t="shared" si="13"/>
        <v>0</v>
      </c>
      <c r="J143" s="54">
        <f t="shared" si="19"/>
        <v>0</v>
      </c>
      <c r="K143" s="54"/>
      <c r="L143" s="115"/>
      <c r="M143" s="54">
        <f t="shared" si="20"/>
        <v>0</v>
      </c>
      <c r="N143" s="115"/>
      <c r="O143" s="54">
        <f t="shared" si="21"/>
        <v>0</v>
      </c>
      <c r="P143" s="54">
        <f t="shared" si="22"/>
        <v>0</v>
      </c>
    </row>
    <row r="144" spans="2:16" ht="12.5">
      <c r="B144" s="7" t="str">
        <f t="shared" si="15"/>
        <v/>
      </c>
      <c r="C144" s="50">
        <f>IF(D93="","-",+C143+1)</f>
        <v>2071</v>
      </c>
      <c r="D144" s="12">
        <f>IF(F143+SUM(E$99:E143)=D$92,F143,D$92-SUM(E$99:E143))</f>
        <v>0</v>
      </c>
      <c r="E144" s="56">
        <f t="shared" si="16"/>
        <v>0</v>
      </c>
      <c r="F144" s="55">
        <f t="shared" si="17"/>
        <v>0</v>
      </c>
      <c r="G144" s="55">
        <f t="shared" si="18"/>
        <v>0</v>
      </c>
      <c r="H144" s="113">
        <f t="shared" si="12"/>
        <v>0</v>
      </c>
      <c r="I144" s="122">
        <f t="shared" si="13"/>
        <v>0</v>
      </c>
      <c r="J144" s="54">
        <f t="shared" si="19"/>
        <v>0</v>
      </c>
      <c r="K144" s="54"/>
      <c r="L144" s="115"/>
      <c r="M144" s="54">
        <f t="shared" si="20"/>
        <v>0</v>
      </c>
      <c r="N144" s="115"/>
      <c r="O144" s="54">
        <f t="shared" si="21"/>
        <v>0</v>
      </c>
      <c r="P144" s="54">
        <f t="shared" si="22"/>
        <v>0</v>
      </c>
    </row>
    <row r="145" spans="2:16" ht="12.5">
      <c r="B145" s="7" t="str">
        <f t="shared" si="15"/>
        <v/>
      </c>
      <c r="C145" s="50">
        <f>IF(D93="","-",+C144+1)</f>
        <v>2072</v>
      </c>
      <c r="D145" s="12">
        <f>IF(F144+SUM(E$99:E144)=D$92,F144,D$92-SUM(E$99:E144))</f>
        <v>0</v>
      </c>
      <c r="E145" s="56">
        <f t="shared" si="16"/>
        <v>0</v>
      </c>
      <c r="F145" s="55">
        <f t="shared" si="17"/>
        <v>0</v>
      </c>
      <c r="G145" s="55">
        <f t="shared" si="18"/>
        <v>0</v>
      </c>
      <c r="H145" s="113">
        <f t="shared" si="12"/>
        <v>0</v>
      </c>
      <c r="I145" s="122">
        <f t="shared" si="13"/>
        <v>0</v>
      </c>
      <c r="J145" s="54">
        <f t="shared" si="19"/>
        <v>0</v>
      </c>
      <c r="K145" s="54"/>
      <c r="L145" s="115"/>
      <c r="M145" s="54">
        <f t="shared" si="20"/>
        <v>0</v>
      </c>
      <c r="N145" s="115"/>
      <c r="O145" s="54">
        <f t="shared" si="21"/>
        <v>0</v>
      </c>
      <c r="P145" s="54">
        <f t="shared" si="22"/>
        <v>0</v>
      </c>
    </row>
    <row r="146" spans="2:16" ht="12.5">
      <c r="B146" s="7" t="str">
        <f t="shared" si="15"/>
        <v/>
      </c>
      <c r="C146" s="50">
        <f>IF(D93="","-",+C145+1)</f>
        <v>2073</v>
      </c>
      <c r="D146" s="12">
        <f>IF(F145+SUM(E$99:E145)=D$92,F145,D$92-SUM(E$99:E145))</f>
        <v>0</v>
      </c>
      <c r="E146" s="56">
        <f t="shared" si="16"/>
        <v>0</v>
      </c>
      <c r="F146" s="55">
        <f t="shared" si="17"/>
        <v>0</v>
      </c>
      <c r="G146" s="55">
        <f t="shared" si="18"/>
        <v>0</v>
      </c>
      <c r="H146" s="113">
        <f t="shared" si="12"/>
        <v>0</v>
      </c>
      <c r="I146" s="122">
        <f t="shared" si="13"/>
        <v>0</v>
      </c>
      <c r="J146" s="54">
        <f t="shared" si="19"/>
        <v>0</v>
      </c>
      <c r="K146" s="54"/>
      <c r="L146" s="115"/>
      <c r="M146" s="54">
        <f t="shared" si="20"/>
        <v>0</v>
      </c>
      <c r="N146" s="115"/>
      <c r="O146" s="54">
        <f t="shared" si="21"/>
        <v>0</v>
      </c>
      <c r="P146" s="54">
        <f t="shared" si="22"/>
        <v>0</v>
      </c>
    </row>
    <row r="147" spans="2:16" ht="12.5">
      <c r="B147" s="7" t="str">
        <f t="shared" si="15"/>
        <v/>
      </c>
      <c r="C147" s="50">
        <f>IF(D93="","-",+C146+1)</f>
        <v>2074</v>
      </c>
      <c r="D147" s="12">
        <f>IF(F146+SUM(E$99:E146)=D$92,F146,D$92-SUM(E$99:E146))</f>
        <v>0</v>
      </c>
      <c r="E147" s="56">
        <f t="shared" si="16"/>
        <v>0</v>
      </c>
      <c r="F147" s="55">
        <f t="shared" si="17"/>
        <v>0</v>
      </c>
      <c r="G147" s="55">
        <f t="shared" si="18"/>
        <v>0</v>
      </c>
      <c r="H147" s="113">
        <f t="shared" si="12"/>
        <v>0</v>
      </c>
      <c r="I147" s="122">
        <f t="shared" si="13"/>
        <v>0</v>
      </c>
      <c r="J147" s="54">
        <f t="shared" si="19"/>
        <v>0</v>
      </c>
      <c r="K147" s="54"/>
      <c r="L147" s="115"/>
      <c r="M147" s="54">
        <f t="shared" si="20"/>
        <v>0</v>
      </c>
      <c r="N147" s="115"/>
      <c r="O147" s="54">
        <f t="shared" si="21"/>
        <v>0</v>
      </c>
      <c r="P147" s="54">
        <f t="shared" si="22"/>
        <v>0</v>
      </c>
    </row>
    <row r="148" spans="2:16" ht="12.5">
      <c r="B148" s="7" t="str">
        <f t="shared" si="15"/>
        <v/>
      </c>
      <c r="C148" s="50">
        <f>IF(D93="","-",+C147+1)</f>
        <v>2075</v>
      </c>
      <c r="D148" s="12">
        <f>IF(F147+SUM(E$99:E147)=D$92,F147,D$92-SUM(E$99:E147))</f>
        <v>0</v>
      </c>
      <c r="E148" s="56">
        <f t="shared" si="16"/>
        <v>0</v>
      </c>
      <c r="F148" s="55">
        <f t="shared" si="17"/>
        <v>0</v>
      </c>
      <c r="G148" s="55">
        <f t="shared" si="18"/>
        <v>0</v>
      </c>
      <c r="H148" s="113">
        <f t="shared" si="12"/>
        <v>0</v>
      </c>
      <c r="I148" s="122">
        <f t="shared" si="13"/>
        <v>0</v>
      </c>
      <c r="J148" s="54">
        <f t="shared" si="19"/>
        <v>0</v>
      </c>
      <c r="K148" s="54"/>
      <c r="L148" s="115"/>
      <c r="M148" s="54">
        <f t="shared" si="20"/>
        <v>0</v>
      </c>
      <c r="N148" s="115"/>
      <c r="O148" s="54">
        <f t="shared" si="21"/>
        <v>0</v>
      </c>
      <c r="P148" s="54">
        <f t="shared" si="22"/>
        <v>0</v>
      </c>
    </row>
    <row r="149" spans="2:16" ht="12.5">
      <c r="B149" s="7" t="str">
        <f t="shared" si="15"/>
        <v/>
      </c>
      <c r="C149" s="50">
        <f>IF(D93="","-",+C148+1)</f>
        <v>2076</v>
      </c>
      <c r="D149" s="12">
        <f>IF(F148+SUM(E$99:E148)=D$92,F148,D$92-SUM(E$99:E148))</f>
        <v>0</v>
      </c>
      <c r="E149" s="56">
        <f t="shared" si="16"/>
        <v>0</v>
      </c>
      <c r="F149" s="55">
        <f t="shared" si="17"/>
        <v>0</v>
      </c>
      <c r="G149" s="55">
        <f t="shared" si="18"/>
        <v>0</v>
      </c>
      <c r="H149" s="113">
        <f t="shared" si="12"/>
        <v>0</v>
      </c>
      <c r="I149" s="122">
        <f t="shared" si="13"/>
        <v>0</v>
      </c>
      <c r="J149" s="54">
        <f t="shared" si="19"/>
        <v>0</v>
      </c>
      <c r="K149" s="54"/>
      <c r="L149" s="115"/>
      <c r="M149" s="54">
        <f t="shared" si="20"/>
        <v>0</v>
      </c>
      <c r="N149" s="115"/>
      <c r="O149" s="54">
        <f t="shared" si="21"/>
        <v>0</v>
      </c>
      <c r="P149" s="54">
        <f t="shared" si="22"/>
        <v>0</v>
      </c>
    </row>
    <row r="150" spans="2:16" ht="12.5">
      <c r="B150" s="7" t="str">
        <f t="shared" si="15"/>
        <v/>
      </c>
      <c r="C150" s="50">
        <f>IF(D93="","-",+C149+1)</f>
        <v>2077</v>
      </c>
      <c r="D150" s="12">
        <f>IF(F149+SUM(E$99:E149)=D$92,F149,D$92-SUM(E$99:E149))</f>
        <v>0</v>
      </c>
      <c r="E150" s="56">
        <f t="shared" si="16"/>
        <v>0</v>
      </c>
      <c r="F150" s="55">
        <f t="shared" si="17"/>
        <v>0</v>
      </c>
      <c r="G150" s="55">
        <f t="shared" si="18"/>
        <v>0</v>
      </c>
      <c r="H150" s="113">
        <f t="shared" si="12"/>
        <v>0</v>
      </c>
      <c r="I150" s="122">
        <f t="shared" si="13"/>
        <v>0</v>
      </c>
      <c r="J150" s="54">
        <f t="shared" si="19"/>
        <v>0</v>
      </c>
      <c r="K150" s="54"/>
      <c r="L150" s="115"/>
      <c r="M150" s="54">
        <f t="shared" si="20"/>
        <v>0</v>
      </c>
      <c r="N150" s="115"/>
      <c r="O150" s="54">
        <f t="shared" si="21"/>
        <v>0</v>
      </c>
      <c r="P150" s="54">
        <f t="shared" si="22"/>
        <v>0</v>
      </c>
    </row>
    <row r="151" spans="2:16" ht="12.5">
      <c r="B151" s="7" t="str">
        <f t="shared" si="15"/>
        <v/>
      </c>
      <c r="C151" s="50">
        <f>IF(D93="","-",+C150+1)</f>
        <v>2078</v>
      </c>
      <c r="D151" s="12">
        <f>IF(F150+SUM(E$99:E150)=D$92,F150,D$92-SUM(E$99:E150))</f>
        <v>0</v>
      </c>
      <c r="E151" s="56">
        <f t="shared" si="16"/>
        <v>0</v>
      </c>
      <c r="F151" s="55">
        <f t="shared" si="17"/>
        <v>0</v>
      </c>
      <c r="G151" s="55">
        <f t="shared" si="18"/>
        <v>0</v>
      </c>
      <c r="H151" s="113">
        <f t="shared" si="12"/>
        <v>0</v>
      </c>
      <c r="I151" s="122">
        <f t="shared" si="13"/>
        <v>0</v>
      </c>
      <c r="J151" s="54">
        <f t="shared" si="19"/>
        <v>0</v>
      </c>
      <c r="K151" s="54"/>
      <c r="L151" s="115"/>
      <c r="M151" s="54">
        <f t="shared" si="20"/>
        <v>0</v>
      </c>
      <c r="N151" s="115"/>
      <c r="O151" s="54">
        <f t="shared" si="21"/>
        <v>0</v>
      </c>
      <c r="P151" s="54">
        <f t="shared" si="22"/>
        <v>0</v>
      </c>
    </row>
    <row r="152" spans="2:16" ht="12.5">
      <c r="B152" s="7" t="str">
        <f t="shared" si="15"/>
        <v/>
      </c>
      <c r="C152" s="50">
        <f>IF(D93="","-",+C151+1)</f>
        <v>2079</v>
      </c>
      <c r="D152" s="12">
        <f>IF(F151+SUM(E$99:E151)=D$92,F151,D$92-SUM(E$99:E151))</f>
        <v>0</v>
      </c>
      <c r="E152" s="56">
        <f t="shared" si="16"/>
        <v>0</v>
      </c>
      <c r="F152" s="55">
        <f t="shared" si="17"/>
        <v>0</v>
      </c>
      <c r="G152" s="55">
        <f t="shared" si="18"/>
        <v>0</v>
      </c>
      <c r="H152" s="113">
        <f t="shared" si="12"/>
        <v>0</v>
      </c>
      <c r="I152" s="122">
        <f t="shared" si="13"/>
        <v>0</v>
      </c>
      <c r="J152" s="54">
        <f t="shared" si="19"/>
        <v>0</v>
      </c>
      <c r="K152" s="54"/>
      <c r="L152" s="115"/>
      <c r="M152" s="54">
        <f t="shared" si="20"/>
        <v>0</v>
      </c>
      <c r="N152" s="115"/>
      <c r="O152" s="54">
        <f t="shared" si="21"/>
        <v>0</v>
      </c>
      <c r="P152" s="54">
        <f t="shared" si="22"/>
        <v>0</v>
      </c>
    </row>
    <row r="153" spans="2:16" ht="12.5">
      <c r="B153" s="7" t="str">
        <f t="shared" si="15"/>
        <v/>
      </c>
      <c r="C153" s="50">
        <f>IF(D93="","-",+C152+1)</f>
        <v>2080</v>
      </c>
      <c r="D153" s="12">
        <f>IF(F152+SUM(E$99:E152)=D$92,F152,D$92-SUM(E$99:E152))</f>
        <v>0</v>
      </c>
      <c r="E153" s="56">
        <f t="shared" si="16"/>
        <v>0</v>
      </c>
      <c r="F153" s="55">
        <f t="shared" si="17"/>
        <v>0</v>
      </c>
      <c r="G153" s="55">
        <f t="shared" si="18"/>
        <v>0</v>
      </c>
      <c r="H153" s="113">
        <f t="shared" si="12"/>
        <v>0</v>
      </c>
      <c r="I153" s="122">
        <f t="shared" si="13"/>
        <v>0</v>
      </c>
      <c r="J153" s="54">
        <f t="shared" si="19"/>
        <v>0</v>
      </c>
      <c r="K153" s="54"/>
      <c r="L153" s="115"/>
      <c r="M153" s="54">
        <f t="shared" si="20"/>
        <v>0</v>
      </c>
      <c r="N153" s="115"/>
      <c r="O153" s="54">
        <f t="shared" si="21"/>
        <v>0</v>
      </c>
      <c r="P153" s="54">
        <f t="shared" si="22"/>
        <v>0</v>
      </c>
    </row>
    <row r="154" spans="2:16" ht="13" thickBot="1">
      <c r="B154" s="7" t="str">
        <f t="shared" si="15"/>
        <v/>
      </c>
      <c r="C154" s="58">
        <f>IF(D93="","-",+C153+1)</f>
        <v>2081</v>
      </c>
      <c r="D154" s="82">
        <f>IF(F153+SUM(E$99:E153)=D$92,F153,D$92-SUM(E$99:E153))</f>
        <v>0</v>
      </c>
      <c r="E154" s="60">
        <f t="shared" si="16"/>
        <v>0</v>
      </c>
      <c r="F154" s="59">
        <f t="shared" si="17"/>
        <v>0</v>
      </c>
      <c r="G154" s="59">
        <f t="shared" si="18"/>
        <v>0</v>
      </c>
      <c r="H154" s="123">
        <f t="shared" si="12"/>
        <v>0</v>
      </c>
      <c r="I154" s="124">
        <f t="shared" si="13"/>
        <v>0</v>
      </c>
      <c r="J154" s="62">
        <f t="shared" si="19"/>
        <v>0</v>
      </c>
      <c r="K154" s="54"/>
      <c r="L154" s="116"/>
      <c r="M154" s="62">
        <f t="shared" si="20"/>
        <v>0</v>
      </c>
      <c r="N154" s="116"/>
      <c r="O154" s="62">
        <f t="shared" si="21"/>
        <v>0</v>
      </c>
      <c r="P154" s="62">
        <f t="shared" si="22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V162"/>
  <sheetViews>
    <sheetView topLeftCell="A127" zoomScaleNormal="100" zoomScaleSheetLayoutView="80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1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7"/>
      <c r="K3" s="202"/>
      <c r="L3" s="202"/>
      <c r="M3" s="202"/>
      <c r="N3" s="202"/>
      <c r="O3" s="1" t="str">
        <f>RIGHT(N3,3)</f>
        <v/>
      </c>
      <c r="P3" s="325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88150.254416436714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88150.254416436714</v>
      </c>
      <c r="O6" s="1"/>
      <c r="P6" s="1"/>
    </row>
    <row r="7" spans="1:16" ht="13.5" thickBot="1">
      <c r="C7" s="26" t="s">
        <v>46</v>
      </c>
      <c r="D7" s="332" t="s">
        <v>209</v>
      </c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49</v>
      </c>
      <c r="E9" s="404" t="s">
        <v>354</v>
      </c>
      <c r="F9" s="32"/>
      <c r="G9" s="452" t="s">
        <v>387</v>
      </c>
      <c r="H9" s="32"/>
      <c r="I9" s="33"/>
      <c r="J9" s="34"/>
      <c r="P9" s="1"/>
    </row>
    <row r="10" spans="1:16" ht="13">
      <c r="C10" s="128" t="s">
        <v>226</v>
      </c>
      <c r="D10" s="336">
        <v>893858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6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IF(D10=0,0,ROUND(D10/D13,0))</f>
        <v>23523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C17" s="50">
        <f>IF(D11= "","-",D11)</f>
        <v>2009</v>
      </c>
      <c r="D17" s="349">
        <v>579098</v>
      </c>
      <c r="E17" s="350">
        <v>5463</v>
      </c>
      <c r="F17" s="349">
        <v>573635</v>
      </c>
      <c r="G17" s="350">
        <v>56729</v>
      </c>
      <c r="H17" s="350">
        <v>56729</v>
      </c>
      <c r="I17" s="52">
        <f t="shared" ref="I17:I48" si="0">H17-G17</f>
        <v>0</v>
      </c>
      <c r="J17" s="52"/>
      <c r="K17" s="324">
        <v>56729</v>
      </c>
      <c r="L17" s="53">
        <f t="shared" ref="L17:L48" si="1">IF(K17&lt;&gt;0,+G17-K17,0)</f>
        <v>0</v>
      </c>
      <c r="M17" s="324">
        <v>56729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888395</v>
      </c>
      <c r="E18" s="352">
        <v>15962</v>
      </c>
      <c r="F18" s="351">
        <v>872433</v>
      </c>
      <c r="G18" s="352">
        <v>141851</v>
      </c>
      <c r="H18" s="353">
        <v>141851</v>
      </c>
      <c r="I18" s="52">
        <f t="shared" si="0"/>
        <v>0</v>
      </c>
      <c r="J18" s="52"/>
      <c r="K18" s="324">
        <f t="shared" ref="K18:K23" si="4">G18</f>
        <v>141851</v>
      </c>
      <c r="L18" s="54">
        <f t="shared" si="1"/>
        <v>0</v>
      </c>
      <c r="M18" s="324">
        <f t="shared" ref="M18:M23" si="5">H18</f>
        <v>141851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2011</v>
      </c>
      <c r="D19" s="351">
        <v>872433</v>
      </c>
      <c r="E19" s="352">
        <v>17527</v>
      </c>
      <c r="F19" s="351">
        <v>854906</v>
      </c>
      <c r="G19" s="352">
        <v>151356.84230707804</v>
      </c>
      <c r="H19" s="353">
        <v>151356.84230707804</v>
      </c>
      <c r="I19" s="52">
        <f t="shared" si="0"/>
        <v>0</v>
      </c>
      <c r="J19" s="52"/>
      <c r="K19" s="324">
        <f t="shared" si="4"/>
        <v>151356.84230707804</v>
      </c>
      <c r="L19" s="54">
        <f t="shared" si="1"/>
        <v>0</v>
      </c>
      <c r="M19" s="324">
        <f t="shared" si="5"/>
        <v>151356.84230707804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854906</v>
      </c>
      <c r="E20" s="352">
        <v>17190</v>
      </c>
      <c r="F20" s="351">
        <v>837716</v>
      </c>
      <c r="G20" s="352">
        <v>133805.70830730975</v>
      </c>
      <c r="H20" s="353">
        <v>133805.70830730975</v>
      </c>
      <c r="I20" s="52">
        <f t="shared" si="0"/>
        <v>0</v>
      </c>
      <c r="J20" s="52"/>
      <c r="K20" s="324">
        <f t="shared" si="4"/>
        <v>133805.70830730975</v>
      </c>
      <c r="L20" s="54">
        <f t="shared" si="1"/>
        <v>0</v>
      </c>
      <c r="M20" s="324">
        <f t="shared" si="5"/>
        <v>133805.70830730975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837716</v>
      </c>
      <c r="E21" s="352">
        <v>17190</v>
      </c>
      <c r="F21" s="351">
        <v>820526</v>
      </c>
      <c r="G21" s="352">
        <v>134366.65985215519</v>
      </c>
      <c r="H21" s="353">
        <v>134366.65985215519</v>
      </c>
      <c r="I21" s="52">
        <v>0</v>
      </c>
      <c r="J21" s="52"/>
      <c r="K21" s="324">
        <f t="shared" si="4"/>
        <v>134366.65985215519</v>
      </c>
      <c r="L21" s="54">
        <f t="shared" ref="L21:L26" si="7">IF(K21&lt;&gt;0,+G21-K21,0)</f>
        <v>0</v>
      </c>
      <c r="M21" s="324">
        <f t="shared" si="5"/>
        <v>134366.65985215519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820526</v>
      </c>
      <c r="E22" s="352">
        <v>17190</v>
      </c>
      <c r="F22" s="351">
        <v>803336</v>
      </c>
      <c r="G22" s="352">
        <v>127776.24380165605</v>
      </c>
      <c r="H22" s="353">
        <v>127776.24380165605</v>
      </c>
      <c r="I22" s="52">
        <v>0</v>
      </c>
      <c r="J22" s="52"/>
      <c r="K22" s="324">
        <f t="shared" si="4"/>
        <v>127776.24380165605</v>
      </c>
      <c r="L22" s="54">
        <f t="shared" si="7"/>
        <v>0</v>
      </c>
      <c r="M22" s="324">
        <f t="shared" si="5"/>
        <v>127776.24380165605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351">
        <v>803336</v>
      </c>
      <c r="E23" s="352">
        <v>17190</v>
      </c>
      <c r="F23" s="351">
        <v>786146</v>
      </c>
      <c r="G23" s="352">
        <v>125577.25148028173</v>
      </c>
      <c r="H23" s="353">
        <v>125577.25148028173</v>
      </c>
      <c r="I23" s="52">
        <v>0</v>
      </c>
      <c r="J23" s="52"/>
      <c r="K23" s="324">
        <f t="shared" si="4"/>
        <v>125577.25148028173</v>
      </c>
      <c r="L23" s="54">
        <f t="shared" si="7"/>
        <v>0</v>
      </c>
      <c r="M23" s="324">
        <f t="shared" si="5"/>
        <v>125577.25148028173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786146</v>
      </c>
      <c r="E24" s="352">
        <v>17190</v>
      </c>
      <c r="F24" s="351">
        <v>768956</v>
      </c>
      <c r="G24" s="352">
        <v>118045.98754263212</v>
      </c>
      <c r="H24" s="353">
        <v>118045.98754263212</v>
      </c>
      <c r="I24" s="52">
        <f t="shared" si="0"/>
        <v>0</v>
      </c>
      <c r="J24" s="52"/>
      <c r="K24" s="324">
        <f t="shared" ref="K24:K29" si="10">G24</f>
        <v>118045.98754263212</v>
      </c>
      <c r="L24" s="54">
        <f t="shared" si="7"/>
        <v>0</v>
      </c>
      <c r="M24" s="324">
        <f t="shared" ref="M24:M29" si="11">H24</f>
        <v>118045.98754263212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768956</v>
      </c>
      <c r="E25" s="352">
        <v>19432</v>
      </c>
      <c r="F25" s="351">
        <v>749524</v>
      </c>
      <c r="G25" s="352">
        <v>114816.91495996526</v>
      </c>
      <c r="H25" s="353">
        <v>114816.91495996526</v>
      </c>
      <c r="I25" s="52">
        <f t="shared" si="0"/>
        <v>0</v>
      </c>
      <c r="J25" s="52"/>
      <c r="K25" s="324">
        <f t="shared" si="10"/>
        <v>114816.91495996526</v>
      </c>
      <c r="L25" s="54">
        <f t="shared" si="7"/>
        <v>0</v>
      </c>
      <c r="M25" s="324">
        <f t="shared" si="11"/>
        <v>114816.91495996526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749524</v>
      </c>
      <c r="E26" s="352">
        <v>19864</v>
      </c>
      <c r="F26" s="351">
        <v>729660</v>
      </c>
      <c r="G26" s="352">
        <v>108436.75447594153</v>
      </c>
      <c r="H26" s="353">
        <v>108436.75447594153</v>
      </c>
      <c r="I26" s="52">
        <f t="shared" si="0"/>
        <v>0</v>
      </c>
      <c r="J26" s="52"/>
      <c r="K26" s="324">
        <f t="shared" si="10"/>
        <v>108436.75447594153</v>
      </c>
      <c r="L26" s="54">
        <f t="shared" si="7"/>
        <v>0</v>
      </c>
      <c r="M26" s="324">
        <f t="shared" si="11"/>
        <v>108436.75447594153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729660</v>
      </c>
      <c r="E27" s="352">
        <v>22346</v>
      </c>
      <c r="F27" s="351">
        <v>707314</v>
      </c>
      <c r="G27" s="352">
        <v>102569.83805108386</v>
      </c>
      <c r="H27" s="353">
        <v>102569.83805108386</v>
      </c>
      <c r="I27" s="52">
        <f t="shared" si="0"/>
        <v>0</v>
      </c>
      <c r="J27" s="52"/>
      <c r="K27" s="324">
        <f t="shared" si="10"/>
        <v>102569.83805108386</v>
      </c>
      <c r="L27" s="54">
        <f t="shared" ref="L27" si="12">IF(K27&lt;&gt;0,+G27-K27,0)</f>
        <v>0</v>
      </c>
      <c r="M27" s="324">
        <f t="shared" si="11"/>
        <v>102569.83805108386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709796</v>
      </c>
      <c r="E28" s="352">
        <v>21282</v>
      </c>
      <c r="F28" s="351">
        <v>688514</v>
      </c>
      <c r="G28" s="352">
        <v>96794.079800478314</v>
      </c>
      <c r="H28" s="353">
        <v>96794.079800478314</v>
      </c>
      <c r="I28" s="52">
        <f t="shared" si="0"/>
        <v>0</v>
      </c>
      <c r="J28" s="52"/>
      <c r="K28" s="324">
        <f t="shared" si="10"/>
        <v>96794.079800478314</v>
      </c>
      <c r="L28" s="54">
        <f t="shared" ref="L28" si="15">IF(K28&lt;&gt;0,+G28-K28,0)</f>
        <v>0</v>
      </c>
      <c r="M28" s="324">
        <f t="shared" si="11"/>
        <v>96794.079800478314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686032</v>
      </c>
      <c r="E29" s="352">
        <v>20787</v>
      </c>
      <c r="F29" s="351">
        <v>665245</v>
      </c>
      <c r="G29" s="352">
        <v>92514.814817027102</v>
      </c>
      <c r="H29" s="353">
        <v>92514.814817027102</v>
      </c>
      <c r="I29" s="52">
        <f t="shared" si="0"/>
        <v>0</v>
      </c>
      <c r="J29" s="52"/>
      <c r="K29" s="324">
        <f t="shared" si="10"/>
        <v>92514.814817027102</v>
      </c>
      <c r="L29" s="54">
        <f t="shared" ref="L29" si="16">IF(K29&lt;&gt;0,+G29-K29,0)</f>
        <v>0</v>
      </c>
      <c r="M29" s="324">
        <f t="shared" si="11"/>
        <v>92514.814817027102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665245</v>
      </c>
      <c r="E30" s="352">
        <v>21282</v>
      </c>
      <c r="F30" s="351">
        <v>643963</v>
      </c>
      <c r="G30" s="352">
        <v>90708.453283775307</v>
      </c>
      <c r="H30" s="353">
        <v>90708.453283775307</v>
      </c>
      <c r="I30" s="52">
        <f t="shared" si="0"/>
        <v>0</v>
      </c>
      <c r="J30" s="52"/>
      <c r="K30" s="324">
        <f t="shared" ref="K30" si="17">G30</f>
        <v>90708.453283775307</v>
      </c>
      <c r="L30" s="54">
        <f t="shared" ref="L30" si="18">IF(K30&lt;&gt;0,+G30-K30,0)</f>
        <v>0</v>
      </c>
      <c r="M30" s="324">
        <f t="shared" ref="M30" si="19">H30</f>
        <v>90708.453283775307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450">
        <f>IF(D11="","-",+C30+1)</f>
        <v>2023</v>
      </c>
      <c r="D31" s="351">
        <v>643963</v>
      </c>
      <c r="E31" s="352">
        <v>22919</v>
      </c>
      <c r="F31" s="351">
        <v>621044</v>
      </c>
      <c r="G31" s="352">
        <v>97046.160151699252</v>
      </c>
      <c r="H31" s="353">
        <v>97046.160151699252</v>
      </c>
      <c r="I31" s="52">
        <f t="shared" si="0"/>
        <v>0</v>
      </c>
      <c r="J31" s="52"/>
      <c r="K31" s="324">
        <f t="shared" ref="K31" si="20">G31</f>
        <v>97046.160151699252</v>
      </c>
      <c r="L31" s="54">
        <f t="shared" ref="L31" si="21">IF(K31&lt;&gt;0,+G31-K31,0)</f>
        <v>0</v>
      </c>
      <c r="M31" s="324">
        <f t="shared" ref="M31" si="22">H31</f>
        <v>97046.160151699252</v>
      </c>
      <c r="N31" s="54">
        <f t="shared" ref="N31" si="23">IF(M31&lt;&gt;0,+H31-M31,0)</f>
        <v>0</v>
      </c>
      <c r="O31" s="54">
        <f t="shared" ref="O31" si="24">+N31-L31</f>
        <v>0</v>
      </c>
      <c r="P31" s="1"/>
    </row>
    <row r="32" spans="2:16" ht="12.5">
      <c r="B32" s="7" t="str">
        <f t="shared" si="6"/>
        <v/>
      </c>
      <c r="C32" s="450">
        <f>IF(D11="","-",+C31+1)</f>
        <v>2024</v>
      </c>
      <c r="D32" s="351">
        <v>621044</v>
      </c>
      <c r="E32" s="352">
        <v>23523</v>
      </c>
      <c r="F32" s="351">
        <v>597521</v>
      </c>
      <c r="G32" s="352">
        <v>91485.150622743604</v>
      </c>
      <c r="H32" s="353">
        <v>91485.150622743604</v>
      </c>
      <c r="I32" s="52">
        <f t="shared" si="0"/>
        <v>0</v>
      </c>
      <c r="J32" s="52"/>
      <c r="K32" s="324">
        <f t="shared" ref="K32" si="25">G32</f>
        <v>91485.150622743604</v>
      </c>
      <c r="L32" s="54">
        <f t="shared" ref="L32" si="26">IF(K32&lt;&gt;0,+G32-K32,0)</f>
        <v>0</v>
      </c>
      <c r="M32" s="324">
        <f t="shared" ref="M32" si="27">H32</f>
        <v>91485.150622743604</v>
      </c>
      <c r="N32" s="54">
        <f t="shared" ref="N32" si="28">IF(M32&lt;&gt;0,+H32-M32,0)</f>
        <v>0</v>
      </c>
      <c r="O32" s="54">
        <f t="shared" ref="O32" si="29">+N32-L32</f>
        <v>0</v>
      </c>
      <c r="P32" s="1"/>
    </row>
    <row r="33" spans="2:16" ht="13">
      <c r="B33" s="7" t="str">
        <f t="shared" si="6"/>
        <v/>
      </c>
      <c r="C33" s="449">
        <f>IF(D11="","-",+C32+1)</f>
        <v>2025</v>
      </c>
      <c r="D33" s="351">
        <v>597521</v>
      </c>
      <c r="E33" s="352">
        <v>23523</v>
      </c>
      <c r="F33" s="351">
        <v>573998</v>
      </c>
      <c r="G33" s="352">
        <v>88732.900451199646</v>
      </c>
      <c r="H33" s="353">
        <v>88732.900451199646</v>
      </c>
      <c r="I33" s="52">
        <f t="shared" si="0"/>
        <v>0</v>
      </c>
      <c r="J33" s="52"/>
      <c r="K33" s="324">
        <f t="shared" ref="K33" si="30">G33</f>
        <v>88732.900451199646</v>
      </c>
      <c r="L33" s="54">
        <f t="shared" ref="L33" si="31">IF(K33&lt;&gt;0,+G33-K33,0)</f>
        <v>0</v>
      </c>
      <c r="M33" s="324">
        <f t="shared" ref="M33" si="32">H33</f>
        <v>88732.900451199646</v>
      </c>
      <c r="N33" s="54">
        <f t="shared" ref="N33" si="33">IF(M33&lt;&gt;0,+H33-M33,0)</f>
        <v>0</v>
      </c>
      <c r="O33" s="54">
        <f t="shared" ref="O33" si="34">+N33-L33</f>
        <v>0</v>
      </c>
      <c r="P33" s="1"/>
    </row>
    <row r="34" spans="2:16" ht="13">
      <c r="B34" s="7" t="str">
        <f t="shared" si="6"/>
        <v/>
      </c>
      <c r="C34" s="45">
        <f>IF(D11="","-",+C33+1)</f>
        <v>2026</v>
      </c>
      <c r="D34" s="55">
        <f>IF(F33+SUM(E$17:E33)=D$10,F33,D$10-SUM(E$17:E33))</f>
        <v>573998</v>
      </c>
      <c r="E34" s="354">
        <f>IF(+I14&lt;F33,I14,D34)</f>
        <v>23523</v>
      </c>
      <c r="F34" s="55">
        <f t="shared" ref="F34:F48" si="35">+D34-E34</f>
        <v>550475</v>
      </c>
      <c r="G34" s="355">
        <f t="shared" ref="G34:G72" si="36">+I$12*F34+E34</f>
        <v>88150.254416436714</v>
      </c>
      <c r="H34" s="337">
        <f t="shared" ref="H34:H72" si="37">+I$13*F34+E34</f>
        <v>88150.254416436714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550475</v>
      </c>
      <c r="E35" s="354">
        <f>IF(+I14&lt;F34,I14,D35)</f>
        <v>23523</v>
      </c>
      <c r="F35" s="55">
        <f t="shared" si="35"/>
        <v>526952</v>
      </c>
      <c r="G35" s="355">
        <f t="shared" si="36"/>
        <v>85388.590570416738</v>
      </c>
      <c r="H35" s="337">
        <f t="shared" si="37"/>
        <v>85388.590570416738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526952</v>
      </c>
      <c r="E36" s="354">
        <f>IF(+I14&lt;F35,I14,D36)</f>
        <v>23523</v>
      </c>
      <c r="F36" s="55">
        <f t="shared" si="35"/>
        <v>503429</v>
      </c>
      <c r="G36" s="355">
        <f t="shared" si="36"/>
        <v>82626.926724396777</v>
      </c>
      <c r="H36" s="337">
        <f t="shared" si="37"/>
        <v>82626.926724396777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503429</v>
      </c>
      <c r="E37" s="354">
        <f>IF(+I14&lt;F36,I14,D37)</f>
        <v>23523</v>
      </c>
      <c r="F37" s="55">
        <f t="shared" si="35"/>
        <v>479906</v>
      </c>
      <c r="G37" s="355">
        <f t="shared" si="36"/>
        <v>79865.262878376816</v>
      </c>
      <c r="H37" s="337">
        <f t="shared" si="37"/>
        <v>79865.262878376816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479906</v>
      </c>
      <c r="E38" s="354">
        <f>IF(+I14&lt;F37,I14,D38)</f>
        <v>23523</v>
      </c>
      <c r="F38" s="55">
        <f t="shared" si="35"/>
        <v>456383</v>
      </c>
      <c r="G38" s="355">
        <f t="shared" si="36"/>
        <v>77103.59903235684</v>
      </c>
      <c r="H38" s="337">
        <f t="shared" si="37"/>
        <v>77103.59903235684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456383</v>
      </c>
      <c r="E39" s="354">
        <f>IF(+I14&lt;F38,I14,D39)</f>
        <v>23523</v>
      </c>
      <c r="F39" s="55">
        <f t="shared" si="35"/>
        <v>432860</v>
      </c>
      <c r="G39" s="355">
        <f t="shared" si="36"/>
        <v>74341.935186336879</v>
      </c>
      <c r="H39" s="337">
        <f t="shared" si="37"/>
        <v>74341.935186336879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432860</v>
      </c>
      <c r="E40" s="354">
        <f>IF(+I14&lt;F39,I14,D40)</f>
        <v>23523</v>
      </c>
      <c r="F40" s="55">
        <f t="shared" si="35"/>
        <v>409337</v>
      </c>
      <c r="G40" s="355">
        <f t="shared" si="36"/>
        <v>71580.271340316918</v>
      </c>
      <c r="H40" s="337">
        <f t="shared" si="37"/>
        <v>71580.271340316918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409337</v>
      </c>
      <c r="E41" s="354">
        <f>IF(+I14&lt;F40,I14,D41)</f>
        <v>23523</v>
      </c>
      <c r="F41" s="55">
        <f t="shared" si="35"/>
        <v>385814</v>
      </c>
      <c r="G41" s="355">
        <f t="shared" si="36"/>
        <v>68818.607494296943</v>
      </c>
      <c r="H41" s="337">
        <f t="shared" si="37"/>
        <v>68818.607494296943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385814</v>
      </c>
      <c r="E42" s="354">
        <f>IF(+I14&lt;F41,I14,D42)</f>
        <v>23523</v>
      </c>
      <c r="F42" s="55">
        <f t="shared" si="35"/>
        <v>362291</v>
      </c>
      <c r="G42" s="355">
        <f t="shared" si="36"/>
        <v>66056.943648276982</v>
      </c>
      <c r="H42" s="337">
        <f t="shared" si="37"/>
        <v>66056.943648276982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362291</v>
      </c>
      <c r="E43" s="354">
        <f>IF(+I14&lt;F42,I14,D43)</f>
        <v>23523</v>
      </c>
      <c r="F43" s="55">
        <f t="shared" si="35"/>
        <v>338768</v>
      </c>
      <c r="G43" s="355">
        <f t="shared" si="36"/>
        <v>63295.27980225702</v>
      </c>
      <c r="H43" s="337">
        <f t="shared" si="37"/>
        <v>63295.27980225702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338768</v>
      </c>
      <c r="E44" s="354">
        <f>IF(+I14&lt;F43,I14,D44)</f>
        <v>23523</v>
      </c>
      <c r="F44" s="55">
        <f t="shared" si="35"/>
        <v>315245</v>
      </c>
      <c r="G44" s="355">
        <f t="shared" si="36"/>
        <v>60533.615956237052</v>
      </c>
      <c r="H44" s="337">
        <f t="shared" si="37"/>
        <v>60533.615956237052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315245</v>
      </c>
      <c r="E45" s="354">
        <f>IF(+I14&lt;F44,I14,D45)</f>
        <v>23523</v>
      </c>
      <c r="F45" s="55">
        <f t="shared" si="35"/>
        <v>291722</v>
      </c>
      <c r="G45" s="355">
        <f t="shared" si="36"/>
        <v>57771.952110217084</v>
      </c>
      <c r="H45" s="337">
        <f t="shared" si="37"/>
        <v>57771.952110217084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291722</v>
      </c>
      <c r="E46" s="354">
        <f>IF(+I14&lt;F45,I14,D46)</f>
        <v>23523</v>
      </c>
      <c r="F46" s="55">
        <f t="shared" si="35"/>
        <v>268199</v>
      </c>
      <c r="G46" s="355">
        <f t="shared" si="36"/>
        <v>55010.288264197123</v>
      </c>
      <c r="H46" s="337">
        <f t="shared" si="37"/>
        <v>55010.288264197123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268199</v>
      </c>
      <c r="E47" s="354">
        <f>IF(+I14&lt;F46,I14,D47)</f>
        <v>23523</v>
      </c>
      <c r="F47" s="55">
        <f t="shared" si="35"/>
        <v>244676</v>
      </c>
      <c r="G47" s="355">
        <f t="shared" si="36"/>
        <v>52248.624418177154</v>
      </c>
      <c r="H47" s="337">
        <f t="shared" si="37"/>
        <v>52248.624418177154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244676</v>
      </c>
      <c r="E48" s="354">
        <f>IF(+I14&lt;F47,I14,D48)</f>
        <v>23523</v>
      </c>
      <c r="F48" s="55">
        <f t="shared" si="35"/>
        <v>221153</v>
      </c>
      <c r="G48" s="355">
        <f t="shared" si="36"/>
        <v>49486.960572157186</v>
      </c>
      <c r="H48" s="337">
        <f t="shared" si="37"/>
        <v>49486.960572157186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221153</v>
      </c>
      <c r="E49" s="354">
        <f>IF(+I14&lt;F48,I14,D49)</f>
        <v>23523</v>
      </c>
      <c r="F49" s="55">
        <f t="shared" ref="F49:F72" si="38">+D49-E49</f>
        <v>197630</v>
      </c>
      <c r="G49" s="355">
        <f t="shared" si="36"/>
        <v>46725.296726137225</v>
      </c>
      <c r="H49" s="337">
        <f t="shared" si="37"/>
        <v>46725.296726137225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197630</v>
      </c>
      <c r="E50" s="354">
        <f>IF(+I14&lt;F49,I14,D50)</f>
        <v>23523</v>
      </c>
      <c r="F50" s="55">
        <f t="shared" si="38"/>
        <v>174107</v>
      </c>
      <c r="G50" s="355">
        <f t="shared" si="36"/>
        <v>43963.632880117257</v>
      </c>
      <c r="H50" s="337">
        <f t="shared" si="37"/>
        <v>43963.632880117257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174107</v>
      </c>
      <c r="E51" s="354">
        <f>IF(+I14&lt;F50,I14,D51)</f>
        <v>23523</v>
      </c>
      <c r="F51" s="55">
        <f t="shared" si="38"/>
        <v>150584</v>
      </c>
      <c r="G51" s="355">
        <f t="shared" si="36"/>
        <v>41201.969034097288</v>
      </c>
      <c r="H51" s="337">
        <f t="shared" si="37"/>
        <v>41201.969034097288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150584</v>
      </c>
      <c r="E52" s="354">
        <f>IF(+I14&lt;F51,I14,D52)</f>
        <v>23523</v>
      </c>
      <c r="F52" s="55">
        <f t="shared" si="38"/>
        <v>127061</v>
      </c>
      <c r="G52" s="355">
        <f t="shared" si="36"/>
        <v>38440.305188077327</v>
      </c>
      <c r="H52" s="337">
        <f t="shared" si="37"/>
        <v>38440.305188077327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127061</v>
      </c>
      <c r="E53" s="354">
        <f>IF(+I14&lt;F52,I14,D53)</f>
        <v>23523</v>
      </c>
      <c r="F53" s="55">
        <f t="shared" si="38"/>
        <v>103538</v>
      </c>
      <c r="G53" s="355">
        <f t="shared" si="36"/>
        <v>35678.641342057359</v>
      </c>
      <c r="H53" s="337">
        <f t="shared" si="37"/>
        <v>35678.641342057359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103538</v>
      </c>
      <c r="E54" s="354">
        <f>IF(+I14&lt;F53,I14,D54)</f>
        <v>23523</v>
      </c>
      <c r="F54" s="55">
        <f t="shared" si="38"/>
        <v>80015</v>
      </c>
      <c r="G54" s="355">
        <f t="shared" si="36"/>
        <v>32916.977496037391</v>
      </c>
      <c r="H54" s="337">
        <f t="shared" si="37"/>
        <v>32916.977496037391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80015</v>
      </c>
      <c r="E55" s="354">
        <f>IF(+I14&lt;F54,I14,D55)</f>
        <v>23523</v>
      </c>
      <c r="F55" s="55">
        <f t="shared" si="38"/>
        <v>56492</v>
      </c>
      <c r="G55" s="355">
        <f t="shared" si="36"/>
        <v>30155.313650017426</v>
      </c>
      <c r="H55" s="337">
        <f t="shared" si="37"/>
        <v>30155.313650017426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56492</v>
      </c>
      <c r="E56" s="354">
        <f>IF(+I14&lt;F55,I14,D56)</f>
        <v>23523</v>
      </c>
      <c r="F56" s="55">
        <f t="shared" si="38"/>
        <v>32969</v>
      </c>
      <c r="G56" s="355">
        <f t="shared" si="36"/>
        <v>27393.649803997461</v>
      </c>
      <c r="H56" s="337">
        <f t="shared" si="37"/>
        <v>27393.649803997461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32969</v>
      </c>
      <c r="E57" s="354">
        <f>IF(+I14&lt;F56,I14,D57)</f>
        <v>23523</v>
      </c>
      <c r="F57" s="55">
        <f t="shared" si="38"/>
        <v>9446</v>
      </c>
      <c r="G57" s="355">
        <f t="shared" si="36"/>
        <v>24631.985957977493</v>
      </c>
      <c r="H57" s="337">
        <f t="shared" si="37"/>
        <v>24631.985957977493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9446</v>
      </c>
      <c r="E58" s="354">
        <f>IF(+I14&lt;F57,I14,D58)</f>
        <v>9446</v>
      </c>
      <c r="F58" s="55">
        <f t="shared" si="38"/>
        <v>0</v>
      </c>
      <c r="G58" s="355">
        <f t="shared" si="36"/>
        <v>9446</v>
      </c>
      <c r="H58" s="337">
        <f t="shared" si="37"/>
        <v>9446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8"/>
        <v>0</v>
      </c>
      <c r="G59" s="355">
        <f t="shared" si="36"/>
        <v>0</v>
      </c>
      <c r="H59" s="337">
        <f t="shared" si="37"/>
        <v>0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1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1:16" ht="12.5">
      <c r="C73" s="12" t="s">
        <v>77</v>
      </c>
      <c r="D73" s="267"/>
      <c r="E73" s="267">
        <f>SUM(E17:E72)</f>
        <v>893858</v>
      </c>
      <c r="F73" s="267"/>
      <c r="G73" s="267">
        <f>SUM(G17:G72)</f>
        <v>3235446.6443979978</v>
      </c>
      <c r="H73" s="267">
        <f>SUM(H17:H72)</f>
        <v>3235446.6443979978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1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1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1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1:16" ht="17.5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3"/>
      <c r="P77" s="1"/>
    </row>
    <row r="78" spans="1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1:16" ht="15.5">
      <c r="A79" s="359"/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</row>
    <row r="80" spans="1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93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91485.150622743604</v>
      </c>
      <c r="N87" s="364">
        <f>IF(J92&lt;D11,0,VLOOKUP(J92,C17:O72,11))</f>
        <v>91485.150622743604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104135.24673249833</v>
      </c>
      <c r="N88" s="367">
        <f>IF(J92&lt;D11,0,VLOOKUP(J92,C99:P154,7))</f>
        <v>104135.24673249833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Riverside-Glenpool (81-523) Reconductor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12650.096109754726</v>
      </c>
      <c r="N89" s="369">
        <f>+N88-N87</f>
        <v>12650.096109754726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TP2006087</v>
      </c>
      <c r="E91" s="74"/>
      <c r="F91" s="74"/>
      <c r="G91" s="74"/>
      <c r="H91" s="74"/>
      <c r="I91" s="74"/>
      <c r="J91" s="371"/>
    </row>
    <row r="92" spans="1:16" ht="13">
      <c r="C92" s="128" t="s">
        <v>226</v>
      </c>
      <c r="D92" s="336">
        <v>893858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24158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2009</v>
      </c>
      <c r="D99" s="349">
        <v>0</v>
      </c>
      <c r="E99" s="352">
        <v>7981</v>
      </c>
      <c r="F99" s="351">
        <v>885877</v>
      </c>
      <c r="G99" s="376">
        <v>442938.5</v>
      </c>
      <c r="H99" s="377">
        <v>72742</v>
      </c>
      <c r="I99" s="378">
        <v>72742</v>
      </c>
      <c r="J99" s="54">
        <f t="shared" ref="J99:J130" si="43">+I99-H99</f>
        <v>0</v>
      </c>
      <c r="K99" s="54"/>
      <c r="L99" s="324">
        <f t="shared" ref="L99:L104" si="44">H99</f>
        <v>72742</v>
      </c>
      <c r="M99" s="53">
        <f t="shared" ref="M99:M130" si="45">IF(L99&lt;&gt;0,+H99-L99,0)</f>
        <v>0</v>
      </c>
      <c r="N99" s="324">
        <f t="shared" ref="N99:N104" si="46">I99</f>
        <v>72742</v>
      </c>
      <c r="O99" s="53">
        <f t="shared" ref="O99:O130" si="47">IF(N99&lt;&gt;0,+I99-N99,0)</f>
        <v>0</v>
      </c>
      <c r="P99" s="53">
        <f t="shared" ref="P99:P130" si="48">+O99-M99</f>
        <v>0</v>
      </c>
    </row>
    <row r="100" spans="1:16" ht="12.5">
      <c r="B100" s="7" t="str">
        <f>IF(D100=F99,"","IU")</f>
        <v/>
      </c>
      <c r="C100" s="50">
        <f>IF(D93="","-",+C99+1)</f>
        <v>2010</v>
      </c>
      <c r="D100" s="349">
        <v>885877</v>
      </c>
      <c r="E100" s="352">
        <v>17527</v>
      </c>
      <c r="F100" s="351">
        <v>868350</v>
      </c>
      <c r="G100" s="351">
        <v>877113.5</v>
      </c>
      <c r="H100" s="377">
        <v>158580.20000000001</v>
      </c>
      <c r="I100" s="378">
        <v>158580.20000000001</v>
      </c>
      <c r="J100" s="54">
        <f t="shared" si="43"/>
        <v>0</v>
      </c>
      <c r="K100" s="54"/>
      <c r="L100" s="324">
        <f t="shared" si="44"/>
        <v>158580.20000000001</v>
      </c>
      <c r="M100" s="54">
        <f t="shared" si="45"/>
        <v>0</v>
      </c>
      <c r="N100" s="324">
        <f t="shared" si="46"/>
        <v>158580.20000000001</v>
      </c>
      <c r="O100" s="54">
        <f t="shared" si="47"/>
        <v>0</v>
      </c>
      <c r="P100" s="54">
        <f t="shared" si="48"/>
        <v>0</v>
      </c>
    </row>
    <row r="101" spans="1:16" ht="12.5">
      <c r="B101" s="7" t="str">
        <f t="shared" ref="B101:B154" si="49">IF(D101=F100,"","IU")</f>
        <v/>
      </c>
      <c r="C101" s="50">
        <f>IF(D93="","-",+C100+1)</f>
        <v>2011</v>
      </c>
      <c r="D101" s="349">
        <v>868350</v>
      </c>
      <c r="E101" s="352">
        <v>17190</v>
      </c>
      <c r="F101" s="351">
        <v>851160</v>
      </c>
      <c r="G101" s="351">
        <v>859755</v>
      </c>
      <c r="H101" s="352">
        <v>137395.30233025842</v>
      </c>
      <c r="I101" s="353">
        <v>137395.30233025842</v>
      </c>
      <c r="J101" s="54">
        <f t="shared" si="43"/>
        <v>0</v>
      </c>
      <c r="K101" s="54"/>
      <c r="L101" s="379">
        <f t="shared" si="44"/>
        <v>137395.30233025842</v>
      </c>
      <c r="M101" s="380">
        <f t="shared" si="45"/>
        <v>0</v>
      </c>
      <c r="N101" s="379">
        <f t="shared" si="46"/>
        <v>137395.30233025842</v>
      </c>
      <c r="O101" s="54">
        <f t="shared" si="47"/>
        <v>0</v>
      </c>
      <c r="P101" s="54">
        <f t="shared" si="48"/>
        <v>0</v>
      </c>
    </row>
    <row r="102" spans="1:16" ht="12.5">
      <c r="B102" s="7" t="str">
        <f t="shared" si="49"/>
        <v/>
      </c>
      <c r="C102" s="50">
        <f>IF(D93="","-",+C101+1)</f>
        <v>2012</v>
      </c>
      <c r="D102" s="349">
        <v>851160</v>
      </c>
      <c r="E102" s="352">
        <v>17190</v>
      </c>
      <c r="F102" s="351">
        <v>833970</v>
      </c>
      <c r="G102" s="351">
        <v>842565</v>
      </c>
      <c r="H102" s="352">
        <v>138397.59402070014</v>
      </c>
      <c r="I102" s="353">
        <v>138397.59402070014</v>
      </c>
      <c r="J102" s="54">
        <v>0</v>
      </c>
      <c r="K102" s="54"/>
      <c r="L102" s="379">
        <f t="shared" si="44"/>
        <v>138397.59402070014</v>
      </c>
      <c r="M102" s="380">
        <f t="shared" ref="M102:M107" si="50">IF(L102&lt;&gt;0,+H102-L102,0)</f>
        <v>0</v>
      </c>
      <c r="N102" s="379">
        <f t="shared" si="46"/>
        <v>138397.59402070014</v>
      </c>
      <c r="O102" s="54">
        <f t="shared" ref="O102:O107" si="51">IF(N102&lt;&gt;0,+I102-N102,0)</f>
        <v>0</v>
      </c>
      <c r="P102" s="54">
        <f t="shared" ref="P102:P107" si="52">+O102-M102</f>
        <v>0</v>
      </c>
    </row>
    <row r="103" spans="1:16" ht="12.5">
      <c r="B103" s="7" t="str">
        <f t="shared" si="49"/>
        <v/>
      </c>
      <c r="C103" s="50">
        <f>IF(D93="","-",+C102+1)</f>
        <v>2013</v>
      </c>
      <c r="D103" s="349">
        <v>833970</v>
      </c>
      <c r="E103" s="352">
        <v>17190</v>
      </c>
      <c r="F103" s="351">
        <v>816780</v>
      </c>
      <c r="G103" s="351">
        <v>825375</v>
      </c>
      <c r="H103" s="352">
        <v>135994.14234787846</v>
      </c>
      <c r="I103" s="353">
        <v>135994.14234787846</v>
      </c>
      <c r="J103" s="54">
        <v>0</v>
      </c>
      <c r="K103" s="54"/>
      <c r="L103" s="379">
        <f t="shared" si="44"/>
        <v>135994.14234787846</v>
      </c>
      <c r="M103" s="380">
        <f t="shared" si="50"/>
        <v>0</v>
      </c>
      <c r="N103" s="379">
        <f t="shared" si="46"/>
        <v>135994.14234787846</v>
      </c>
      <c r="O103" s="54">
        <f t="shared" si="51"/>
        <v>0</v>
      </c>
      <c r="P103" s="54">
        <f t="shared" si="52"/>
        <v>0</v>
      </c>
    </row>
    <row r="104" spans="1:16" ht="12.5">
      <c r="B104" s="7" t="str">
        <f t="shared" si="49"/>
        <v/>
      </c>
      <c r="C104" s="50">
        <f>IF(D93="","-",+C103+1)</f>
        <v>2014</v>
      </c>
      <c r="D104" s="349">
        <v>816780</v>
      </c>
      <c r="E104" s="352">
        <v>17190</v>
      </c>
      <c r="F104" s="351">
        <v>799590</v>
      </c>
      <c r="G104" s="351">
        <v>808185</v>
      </c>
      <c r="H104" s="352">
        <v>130817.50733584017</v>
      </c>
      <c r="I104" s="353">
        <v>130817.50733584017</v>
      </c>
      <c r="J104" s="54">
        <v>0</v>
      </c>
      <c r="K104" s="54"/>
      <c r="L104" s="379">
        <f t="shared" si="44"/>
        <v>130817.50733584017</v>
      </c>
      <c r="M104" s="380">
        <f t="shared" si="50"/>
        <v>0</v>
      </c>
      <c r="N104" s="379">
        <f t="shared" si="46"/>
        <v>130817.50733584017</v>
      </c>
      <c r="O104" s="54">
        <f t="shared" si="51"/>
        <v>0</v>
      </c>
      <c r="P104" s="54">
        <f t="shared" si="52"/>
        <v>0</v>
      </c>
    </row>
    <row r="105" spans="1:16" ht="12.5">
      <c r="B105" s="7" t="str">
        <f t="shared" si="49"/>
        <v/>
      </c>
      <c r="C105" s="50">
        <f>IF(D93="","-",+C104+1)</f>
        <v>2015</v>
      </c>
      <c r="D105" s="349">
        <v>799590</v>
      </c>
      <c r="E105" s="352">
        <v>17190</v>
      </c>
      <c r="F105" s="351">
        <v>782400</v>
      </c>
      <c r="G105" s="351">
        <v>790995</v>
      </c>
      <c r="H105" s="352">
        <v>125114.9078367878</v>
      </c>
      <c r="I105" s="353">
        <v>125114.9078367878</v>
      </c>
      <c r="J105" s="54">
        <f t="shared" si="43"/>
        <v>0</v>
      </c>
      <c r="K105" s="54"/>
      <c r="L105" s="379">
        <f t="shared" ref="L105:L110" si="53">H105</f>
        <v>125114.9078367878</v>
      </c>
      <c r="M105" s="380">
        <f t="shared" si="50"/>
        <v>0</v>
      </c>
      <c r="N105" s="379">
        <f t="shared" ref="N105:N110" si="54">I105</f>
        <v>125114.9078367878</v>
      </c>
      <c r="O105" s="54">
        <f t="shared" si="51"/>
        <v>0</v>
      </c>
      <c r="P105" s="54">
        <f t="shared" si="52"/>
        <v>0</v>
      </c>
    </row>
    <row r="106" spans="1:16" ht="12.5">
      <c r="B106" s="7" t="str">
        <f t="shared" si="49"/>
        <v/>
      </c>
      <c r="C106" s="50">
        <f>IF(D93="","-",+C105+1)</f>
        <v>2016</v>
      </c>
      <c r="D106" s="349">
        <v>782400</v>
      </c>
      <c r="E106" s="352">
        <v>19432</v>
      </c>
      <c r="F106" s="351">
        <v>762968</v>
      </c>
      <c r="G106" s="351">
        <v>772684</v>
      </c>
      <c r="H106" s="352">
        <v>119043.13650322839</v>
      </c>
      <c r="I106" s="353">
        <v>119043.13650322839</v>
      </c>
      <c r="J106" s="54">
        <f t="shared" si="43"/>
        <v>0</v>
      </c>
      <c r="K106" s="54"/>
      <c r="L106" s="379">
        <f t="shared" si="53"/>
        <v>119043.13650322839</v>
      </c>
      <c r="M106" s="380">
        <f t="shared" si="50"/>
        <v>0</v>
      </c>
      <c r="N106" s="379">
        <f t="shared" si="54"/>
        <v>119043.13650322839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9"/>
        <v/>
      </c>
      <c r="C107" s="50">
        <f>IF(D93="","-",+C106+1)</f>
        <v>2017</v>
      </c>
      <c r="D107" s="349">
        <v>762968</v>
      </c>
      <c r="E107" s="352">
        <v>19432</v>
      </c>
      <c r="F107" s="351">
        <v>743536</v>
      </c>
      <c r="G107" s="351">
        <v>753252</v>
      </c>
      <c r="H107" s="352">
        <v>114983.91552559278</v>
      </c>
      <c r="I107" s="353">
        <v>114983.91552559278</v>
      </c>
      <c r="J107" s="54">
        <f t="shared" si="43"/>
        <v>0</v>
      </c>
      <c r="K107" s="54"/>
      <c r="L107" s="379">
        <f t="shared" si="53"/>
        <v>114983.91552559278</v>
      </c>
      <c r="M107" s="380">
        <f t="shared" si="50"/>
        <v>0</v>
      </c>
      <c r="N107" s="379">
        <f t="shared" si="54"/>
        <v>114983.91552559278</v>
      </c>
      <c r="O107" s="54">
        <f t="shared" si="51"/>
        <v>0</v>
      </c>
      <c r="P107" s="54">
        <f t="shared" si="52"/>
        <v>0</v>
      </c>
    </row>
    <row r="108" spans="1:16" ht="12.5">
      <c r="B108" s="7" t="str">
        <f t="shared" si="49"/>
        <v/>
      </c>
      <c r="C108" s="50">
        <f>IF(D93="","-",+C107+1)</f>
        <v>2018</v>
      </c>
      <c r="D108" s="349">
        <v>743536</v>
      </c>
      <c r="E108" s="352">
        <v>20787</v>
      </c>
      <c r="F108" s="351">
        <v>722749</v>
      </c>
      <c r="G108" s="351">
        <v>733142.5</v>
      </c>
      <c r="H108" s="352">
        <v>96106.810302403712</v>
      </c>
      <c r="I108" s="353">
        <v>96106.810302403712</v>
      </c>
      <c r="J108" s="54">
        <f t="shared" si="43"/>
        <v>0</v>
      </c>
      <c r="K108" s="54"/>
      <c r="L108" s="379">
        <f t="shared" si="53"/>
        <v>96106.810302403712</v>
      </c>
      <c r="M108" s="380">
        <f t="shared" ref="M108" si="55">IF(L108&lt;&gt;0,+H108-L108,0)</f>
        <v>0</v>
      </c>
      <c r="N108" s="379">
        <f t="shared" si="54"/>
        <v>96106.810302403712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 ht="12.5">
      <c r="B109" s="7" t="str">
        <f t="shared" si="49"/>
        <v/>
      </c>
      <c r="C109" s="50">
        <f>IF(D93="","-",+C108+1)</f>
        <v>2019</v>
      </c>
      <c r="D109" s="349">
        <v>722749</v>
      </c>
      <c r="E109" s="352">
        <v>21801</v>
      </c>
      <c r="F109" s="351">
        <v>700948</v>
      </c>
      <c r="G109" s="351">
        <v>711848.5</v>
      </c>
      <c r="H109" s="352">
        <v>95202.564794457576</v>
      </c>
      <c r="I109" s="353">
        <v>95202.564794457576</v>
      </c>
      <c r="J109" s="54">
        <f t="shared" si="43"/>
        <v>0</v>
      </c>
      <c r="K109" s="54"/>
      <c r="L109" s="379">
        <f t="shared" si="53"/>
        <v>95202.564794457576</v>
      </c>
      <c r="M109" s="380">
        <f t="shared" ref="M109:M110" si="58">IF(L109&lt;&gt;0,+H109-L109,0)</f>
        <v>0</v>
      </c>
      <c r="N109" s="379">
        <f t="shared" si="54"/>
        <v>95202.564794457576</v>
      </c>
      <c r="O109" s="54">
        <f t="shared" si="47"/>
        <v>0</v>
      </c>
      <c r="P109" s="54">
        <f t="shared" si="48"/>
        <v>0</v>
      </c>
    </row>
    <row r="110" spans="1:16" ht="12.5">
      <c r="B110" s="7" t="str">
        <f t="shared" si="49"/>
        <v/>
      </c>
      <c r="C110" s="50">
        <f>IF(D93="","-",+C109+1)</f>
        <v>2020</v>
      </c>
      <c r="D110" s="349">
        <v>700948</v>
      </c>
      <c r="E110" s="352">
        <v>20787</v>
      </c>
      <c r="F110" s="351">
        <v>680161</v>
      </c>
      <c r="G110" s="351">
        <v>690554.5</v>
      </c>
      <c r="H110" s="352">
        <v>100406.03532694498</v>
      </c>
      <c r="I110" s="353">
        <v>100406.03532694498</v>
      </c>
      <c r="J110" s="54">
        <f t="shared" si="43"/>
        <v>0</v>
      </c>
      <c r="K110" s="54"/>
      <c r="L110" s="379">
        <f t="shared" si="53"/>
        <v>100406.03532694498</v>
      </c>
      <c r="M110" s="380">
        <f t="shared" si="58"/>
        <v>0</v>
      </c>
      <c r="N110" s="379">
        <f t="shared" si="54"/>
        <v>100406.03532694498</v>
      </c>
      <c r="O110" s="54">
        <f t="shared" si="47"/>
        <v>0</v>
      </c>
      <c r="P110" s="54">
        <f t="shared" si="48"/>
        <v>0</v>
      </c>
    </row>
    <row r="111" spans="1:16" ht="12.5">
      <c r="B111" s="7" t="str">
        <f t="shared" si="49"/>
        <v/>
      </c>
      <c r="C111" s="450">
        <f>IF(D93="","-",+C110+1)</f>
        <v>2021</v>
      </c>
      <c r="D111" s="349">
        <v>680161</v>
      </c>
      <c r="E111" s="352">
        <v>21801</v>
      </c>
      <c r="F111" s="351">
        <v>658360</v>
      </c>
      <c r="G111" s="351">
        <v>669260.5</v>
      </c>
      <c r="H111" s="352">
        <v>97958.021560633977</v>
      </c>
      <c r="I111" s="353">
        <v>97958.021560633977</v>
      </c>
      <c r="J111" s="54">
        <v>0</v>
      </c>
      <c r="K111" s="54"/>
      <c r="L111" s="379">
        <f t="shared" ref="L111" si="59">H111</f>
        <v>97958.021560633977</v>
      </c>
      <c r="M111" s="380">
        <f t="shared" ref="M111" si="60">IF(L111&lt;&gt;0,+H111-L111,0)</f>
        <v>0</v>
      </c>
      <c r="N111" s="379">
        <f t="shared" ref="N111" si="61">I111</f>
        <v>97958.021560633977</v>
      </c>
      <c r="O111" s="54">
        <f t="shared" ref="O111" si="62">IF(N111&lt;&gt;0,+I111-N111,0)</f>
        <v>0</v>
      </c>
      <c r="P111" s="54">
        <f t="shared" ref="P111" si="63">+O111-M111</f>
        <v>0</v>
      </c>
    </row>
    <row r="112" spans="1:16" ht="13">
      <c r="B112" s="7" t="str">
        <f t="shared" si="49"/>
        <v/>
      </c>
      <c r="C112" s="45">
        <f>IF(D93="","-",+C111+1)</f>
        <v>2022</v>
      </c>
      <c r="D112" s="349">
        <v>658360</v>
      </c>
      <c r="E112" s="349">
        <v>22919</v>
      </c>
      <c r="F112" s="349">
        <v>635441</v>
      </c>
      <c r="G112" s="349">
        <v>646900.5</v>
      </c>
      <c r="H112" s="349">
        <v>94196.213236584284</v>
      </c>
      <c r="I112" s="349">
        <v>94196.213236584284</v>
      </c>
      <c r="J112" s="54">
        <f t="shared" si="43"/>
        <v>0</v>
      </c>
      <c r="K112" s="54"/>
      <c r="L112" s="379">
        <f t="shared" ref="L112:L113" si="64">H112</f>
        <v>94196.213236584284</v>
      </c>
      <c r="M112" s="380">
        <f t="shared" ref="M112:M113" si="65">IF(L112&lt;&gt;0,+H112-L112,0)</f>
        <v>0</v>
      </c>
      <c r="N112" s="379">
        <f t="shared" ref="N112:N113" si="66">I112</f>
        <v>94196.213236584284</v>
      </c>
      <c r="O112" s="54">
        <f t="shared" ref="O112:O113" si="67">IF(N112&lt;&gt;0,+I112-N112,0)</f>
        <v>0</v>
      </c>
      <c r="P112" s="54">
        <f t="shared" ref="P112:P113" si="68">+O112-M112</f>
        <v>0</v>
      </c>
    </row>
    <row r="113" spans="2:16" ht="12.5">
      <c r="B113" s="7" t="str">
        <f t="shared" si="49"/>
        <v/>
      </c>
      <c r="C113" s="50">
        <f>IF(D93="","-",+C112+1)</f>
        <v>2023</v>
      </c>
      <c r="D113" s="349">
        <v>635441</v>
      </c>
      <c r="E113" s="349">
        <v>23523</v>
      </c>
      <c r="F113" s="349">
        <v>611918</v>
      </c>
      <c r="G113" s="349">
        <v>623679.5</v>
      </c>
      <c r="H113" s="349">
        <v>94764.071336101319</v>
      </c>
      <c r="I113" s="349">
        <v>94764.071336101319</v>
      </c>
      <c r="J113" s="54">
        <f t="shared" si="43"/>
        <v>0</v>
      </c>
      <c r="K113" s="54"/>
      <c r="L113" s="379">
        <f t="shared" si="64"/>
        <v>94764.071336101319</v>
      </c>
      <c r="M113" s="380">
        <f t="shared" si="65"/>
        <v>0</v>
      </c>
      <c r="N113" s="379">
        <f t="shared" si="66"/>
        <v>94764.071336101319</v>
      </c>
      <c r="O113" s="54">
        <f t="shared" si="67"/>
        <v>0</v>
      </c>
      <c r="P113" s="54">
        <f t="shared" si="68"/>
        <v>0</v>
      </c>
    </row>
    <row r="114" spans="2:16" ht="12.5">
      <c r="B114" s="7" t="str">
        <f t="shared" si="49"/>
        <v/>
      </c>
      <c r="C114" s="50">
        <f>IF(D93="","-",+C113+1)</f>
        <v>2024</v>
      </c>
      <c r="D114" s="349">
        <v>611918</v>
      </c>
      <c r="E114" s="349">
        <v>23523</v>
      </c>
      <c r="F114" s="349">
        <v>588395</v>
      </c>
      <c r="G114" s="349">
        <v>600156.5</v>
      </c>
      <c r="H114" s="349">
        <v>104135.24673249833</v>
      </c>
      <c r="I114" s="349">
        <v>104135.24673249833</v>
      </c>
      <c r="J114" s="54">
        <f t="shared" si="43"/>
        <v>0</v>
      </c>
      <c r="K114" s="54"/>
      <c r="L114" s="379">
        <f t="shared" ref="L114" si="69">H114</f>
        <v>104135.24673249833</v>
      </c>
      <c r="M114" s="380">
        <f t="shared" ref="M114" si="70">IF(L114&lt;&gt;0,+H114-L114,0)</f>
        <v>0</v>
      </c>
      <c r="N114" s="379">
        <f t="shared" ref="N114" si="71">I114</f>
        <v>104135.24673249833</v>
      </c>
      <c r="O114" s="54">
        <f t="shared" ref="O114" si="72">IF(N114&lt;&gt;0,+I114-N114,0)</f>
        <v>0</v>
      </c>
      <c r="P114" s="54">
        <f t="shared" ref="P114" si="73">+O114-M114</f>
        <v>0</v>
      </c>
    </row>
    <row r="115" spans="2:16" ht="12.5">
      <c r="B115" s="7" t="str">
        <f t="shared" si="49"/>
        <v/>
      </c>
      <c r="C115" s="50">
        <f>IF(D93="","-",+C114+1)</f>
        <v>2025</v>
      </c>
      <c r="D115" s="12">
        <f>IF(F114+SUM(E$99:E114)=D$92,F114,D$92-SUM(E$99:E114))</f>
        <v>588395</v>
      </c>
      <c r="E115" s="355">
        <f>IF(+J96&lt;F114,J96,D115)</f>
        <v>24158</v>
      </c>
      <c r="F115" s="55">
        <f t="shared" ref="F115:F130" si="74">+D115-E115</f>
        <v>564237</v>
      </c>
      <c r="G115" s="55">
        <f t="shared" ref="G115:G130" si="75">+(F115+D115)/2</f>
        <v>576316</v>
      </c>
      <c r="H115" s="356">
        <f t="shared" ref="H115:H131" si="76">+J$94*G115+E115</f>
        <v>101568.02153252778</v>
      </c>
      <c r="I115" s="381">
        <f t="shared" ref="I115:I131" si="77">+J$95*G115+E115</f>
        <v>101568.02153252778</v>
      </c>
      <c r="J115" s="54">
        <f t="shared" si="43"/>
        <v>0</v>
      </c>
      <c r="K115" s="54"/>
      <c r="L115" s="115"/>
      <c r="M115" s="54">
        <f t="shared" si="45"/>
        <v>0</v>
      </c>
      <c r="N115" s="115"/>
      <c r="O115" s="54">
        <f t="shared" si="47"/>
        <v>0</v>
      </c>
      <c r="P115" s="54">
        <f t="shared" si="48"/>
        <v>0</v>
      </c>
    </row>
    <row r="116" spans="2:16" ht="12.5">
      <c r="B116" s="7" t="str">
        <f t="shared" si="49"/>
        <v/>
      </c>
      <c r="C116" s="50">
        <f>IF(D93="","-",+C115+1)</f>
        <v>2026</v>
      </c>
      <c r="D116" s="12">
        <f>IF(F115+SUM(E$99:E115)=D$92,F115,D$92-SUM(E$99:E115))</f>
        <v>564237</v>
      </c>
      <c r="E116" s="355">
        <f>IF(+J96&lt;F115,J96,D116)</f>
        <v>24158</v>
      </c>
      <c r="F116" s="55">
        <f t="shared" si="74"/>
        <v>540079</v>
      </c>
      <c r="G116" s="55">
        <f t="shared" si="75"/>
        <v>552158</v>
      </c>
      <c r="H116" s="356">
        <f t="shared" si="76"/>
        <v>98323.15014220927</v>
      </c>
      <c r="I116" s="381">
        <f t="shared" si="77"/>
        <v>98323.15014220927</v>
      </c>
      <c r="J116" s="54">
        <f t="shared" si="43"/>
        <v>0</v>
      </c>
      <c r="K116" s="54"/>
      <c r="L116" s="115"/>
      <c r="M116" s="54">
        <f t="shared" si="45"/>
        <v>0</v>
      </c>
      <c r="N116" s="115"/>
      <c r="O116" s="54">
        <f t="shared" si="47"/>
        <v>0</v>
      </c>
      <c r="P116" s="54">
        <f t="shared" si="48"/>
        <v>0</v>
      </c>
    </row>
    <row r="117" spans="2:16" ht="12.5">
      <c r="B117" s="7" t="str">
        <f t="shared" si="49"/>
        <v/>
      </c>
      <c r="C117" s="50">
        <f>IF(D93="","-",+C116+1)</f>
        <v>2027</v>
      </c>
      <c r="D117" s="12">
        <f>IF(F116+SUM(E$99:E116)=D$92,F116,D$92-SUM(E$99:E116))</f>
        <v>540079</v>
      </c>
      <c r="E117" s="355">
        <f>IF(+J96&lt;F116,J96,D117)</f>
        <v>24158</v>
      </c>
      <c r="F117" s="55">
        <f t="shared" si="74"/>
        <v>515921</v>
      </c>
      <c r="G117" s="55">
        <f t="shared" si="75"/>
        <v>528000</v>
      </c>
      <c r="H117" s="356">
        <f t="shared" si="76"/>
        <v>95078.278751890743</v>
      </c>
      <c r="I117" s="381">
        <f t="shared" si="77"/>
        <v>95078.278751890743</v>
      </c>
      <c r="J117" s="54">
        <f t="shared" si="43"/>
        <v>0</v>
      </c>
      <c r="K117" s="54"/>
      <c r="L117" s="115"/>
      <c r="M117" s="54">
        <f t="shared" si="45"/>
        <v>0</v>
      </c>
      <c r="N117" s="115"/>
      <c r="O117" s="54">
        <f t="shared" si="47"/>
        <v>0</v>
      </c>
      <c r="P117" s="54">
        <f t="shared" si="48"/>
        <v>0</v>
      </c>
    </row>
    <row r="118" spans="2:16" ht="12.5">
      <c r="B118" s="7" t="str">
        <f t="shared" si="49"/>
        <v/>
      </c>
      <c r="C118" s="50">
        <f>IF(D93="","-",+C117+1)</f>
        <v>2028</v>
      </c>
      <c r="D118" s="12">
        <f>IF(F117+SUM(E$99:E117)=D$92,F117,D$92-SUM(E$99:E117))</f>
        <v>515921</v>
      </c>
      <c r="E118" s="355">
        <f>IF(+J96&lt;F117,J96,D118)</f>
        <v>24158</v>
      </c>
      <c r="F118" s="55">
        <f t="shared" si="74"/>
        <v>491763</v>
      </c>
      <c r="G118" s="55">
        <f t="shared" si="75"/>
        <v>503842</v>
      </c>
      <c r="H118" s="356">
        <f t="shared" si="76"/>
        <v>91833.40736157223</v>
      </c>
      <c r="I118" s="381">
        <f t="shared" si="77"/>
        <v>91833.40736157223</v>
      </c>
      <c r="J118" s="54">
        <f t="shared" si="43"/>
        <v>0</v>
      </c>
      <c r="K118" s="54"/>
      <c r="L118" s="115"/>
      <c r="M118" s="54">
        <f t="shared" si="45"/>
        <v>0</v>
      </c>
      <c r="N118" s="115"/>
      <c r="O118" s="54">
        <f t="shared" si="47"/>
        <v>0</v>
      </c>
      <c r="P118" s="54">
        <f t="shared" si="48"/>
        <v>0</v>
      </c>
    </row>
    <row r="119" spans="2:16" ht="12.5">
      <c r="B119" s="7" t="str">
        <f t="shared" si="49"/>
        <v/>
      </c>
      <c r="C119" s="50">
        <f>IF(D93="","-",+C118+1)</f>
        <v>2029</v>
      </c>
      <c r="D119" s="12">
        <f>IF(F118+SUM(E$99:E118)=D$92,F118,D$92-SUM(E$99:E118))</f>
        <v>491763</v>
      </c>
      <c r="E119" s="355">
        <f>IF(+J96&lt;F118,J96,D119)</f>
        <v>24158</v>
      </c>
      <c r="F119" s="55">
        <f t="shared" si="74"/>
        <v>467605</v>
      </c>
      <c r="G119" s="55">
        <f t="shared" si="75"/>
        <v>479684</v>
      </c>
      <c r="H119" s="356">
        <f t="shared" si="76"/>
        <v>88588.535971253717</v>
      </c>
      <c r="I119" s="381">
        <f t="shared" si="77"/>
        <v>88588.535971253717</v>
      </c>
      <c r="J119" s="54">
        <f t="shared" si="43"/>
        <v>0</v>
      </c>
      <c r="K119" s="54"/>
      <c r="L119" s="115"/>
      <c r="M119" s="54">
        <f t="shared" si="45"/>
        <v>0</v>
      </c>
      <c r="N119" s="115"/>
      <c r="O119" s="54">
        <f t="shared" si="47"/>
        <v>0</v>
      </c>
      <c r="P119" s="54">
        <f t="shared" si="48"/>
        <v>0</v>
      </c>
    </row>
    <row r="120" spans="2:16" ht="12.5">
      <c r="B120" s="7" t="str">
        <f t="shared" si="49"/>
        <v/>
      </c>
      <c r="C120" s="50">
        <f>IF(D93="","-",+C119+1)</f>
        <v>2030</v>
      </c>
      <c r="D120" s="12">
        <f>IF(F119+SUM(E$99:E119)=D$92,F119,D$92-SUM(E$99:E119))</f>
        <v>467605</v>
      </c>
      <c r="E120" s="355">
        <f>IF(+J96&lt;F119,J96,D120)</f>
        <v>24158</v>
      </c>
      <c r="F120" s="55">
        <f t="shared" si="74"/>
        <v>443447</v>
      </c>
      <c r="G120" s="55">
        <f t="shared" si="75"/>
        <v>455526</v>
      </c>
      <c r="H120" s="356">
        <f t="shared" si="76"/>
        <v>85343.664580935205</v>
      </c>
      <c r="I120" s="381">
        <f t="shared" si="77"/>
        <v>85343.664580935205</v>
      </c>
      <c r="J120" s="54">
        <f t="shared" si="43"/>
        <v>0</v>
      </c>
      <c r="K120" s="54"/>
      <c r="L120" s="115"/>
      <c r="M120" s="54">
        <f t="shared" si="45"/>
        <v>0</v>
      </c>
      <c r="N120" s="115"/>
      <c r="O120" s="54">
        <f t="shared" si="47"/>
        <v>0</v>
      </c>
      <c r="P120" s="54">
        <f t="shared" si="48"/>
        <v>0</v>
      </c>
    </row>
    <row r="121" spans="2:16" ht="12.5">
      <c r="B121" s="7" t="str">
        <f t="shared" si="49"/>
        <v/>
      </c>
      <c r="C121" s="50">
        <f>IF(D93="","-",+C120+1)</f>
        <v>2031</v>
      </c>
      <c r="D121" s="12">
        <f>IF(F120+SUM(E$99:E120)=D$92,F120,D$92-SUM(E$99:E120))</f>
        <v>443447</v>
      </c>
      <c r="E121" s="355">
        <f>IF(+J96&lt;F120,J96,D121)</f>
        <v>24158</v>
      </c>
      <c r="F121" s="55">
        <f t="shared" si="74"/>
        <v>419289</v>
      </c>
      <c r="G121" s="55">
        <f t="shared" si="75"/>
        <v>431368</v>
      </c>
      <c r="H121" s="356">
        <f t="shared" si="76"/>
        <v>82098.793190616678</v>
      </c>
      <c r="I121" s="381">
        <f t="shared" si="77"/>
        <v>82098.793190616678</v>
      </c>
      <c r="J121" s="54">
        <f t="shared" si="43"/>
        <v>0</v>
      </c>
      <c r="K121" s="54"/>
      <c r="L121" s="115"/>
      <c r="M121" s="54">
        <f t="shared" si="45"/>
        <v>0</v>
      </c>
      <c r="N121" s="115"/>
      <c r="O121" s="54">
        <f t="shared" si="47"/>
        <v>0</v>
      </c>
      <c r="P121" s="54">
        <f t="shared" si="48"/>
        <v>0</v>
      </c>
    </row>
    <row r="122" spans="2:16" ht="12.5">
      <c r="B122" s="7" t="str">
        <f t="shared" si="49"/>
        <v/>
      </c>
      <c r="C122" s="50">
        <f>IF(D93="","-",+C121+1)</f>
        <v>2032</v>
      </c>
      <c r="D122" s="12">
        <f>IF(F121+SUM(E$99:E121)=D$92,F121,D$92-SUM(E$99:E121))</f>
        <v>419289</v>
      </c>
      <c r="E122" s="355">
        <f>IF(+J96&lt;F121,J96,D122)</f>
        <v>24158</v>
      </c>
      <c r="F122" s="55">
        <f t="shared" si="74"/>
        <v>395131</v>
      </c>
      <c r="G122" s="55">
        <f t="shared" si="75"/>
        <v>407210</v>
      </c>
      <c r="H122" s="356">
        <f t="shared" si="76"/>
        <v>78853.921800298165</v>
      </c>
      <c r="I122" s="381">
        <f t="shared" si="77"/>
        <v>78853.921800298165</v>
      </c>
      <c r="J122" s="54">
        <f t="shared" si="43"/>
        <v>0</v>
      </c>
      <c r="K122" s="54"/>
      <c r="L122" s="115"/>
      <c r="M122" s="54">
        <f t="shared" si="45"/>
        <v>0</v>
      </c>
      <c r="N122" s="115"/>
      <c r="O122" s="54">
        <f t="shared" si="47"/>
        <v>0</v>
      </c>
      <c r="P122" s="54">
        <f t="shared" si="48"/>
        <v>0</v>
      </c>
    </row>
    <row r="123" spans="2:16" ht="12.5">
      <c r="B123" s="7" t="str">
        <f t="shared" si="49"/>
        <v/>
      </c>
      <c r="C123" s="50">
        <f>IF(D93="","-",+C122+1)</f>
        <v>2033</v>
      </c>
      <c r="D123" s="12">
        <f>IF(F122+SUM(E$99:E122)=D$92,F122,D$92-SUM(E$99:E122))</f>
        <v>395131</v>
      </c>
      <c r="E123" s="355">
        <f>IF(+J96&lt;F122,J96,D123)</f>
        <v>24158</v>
      </c>
      <c r="F123" s="55">
        <f t="shared" si="74"/>
        <v>370973</v>
      </c>
      <c r="G123" s="55">
        <f t="shared" si="75"/>
        <v>383052</v>
      </c>
      <c r="H123" s="356">
        <f t="shared" si="76"/>
        <v>75609.050409979653</v>
      </c>
      <c r="I123" s="381">
        <f t="shared" si="77"/>
        <v>75609.050409979653</v>
      </c>
      <c r="J123" s="54">
        <f t="shared" si="43"/>
        <v>0</v>
      </c>
      <c r="K123" s="54"/>
      <c r="L123" s="115"/>
      <c r="M123" s="54">
        <f t="shared" si="45"/>
        <v>0</v>
      </c>
      <c r="N123" s="115"/>
      <c r="O123" s="54">
        <f t="shared" si="47"/>
        <v>0</v>
      </c>
      <c r="P123" s="54">
        <f t="shared" si="48"/>
        <v>0</v>
      </c>
    </row>
    <row r="124" spans="2:16" ht="12.5">
      <c r="B124" s="7" t="str">
        <f t="shared" si="49"/>
        <v/>
      </c>
      <c r="C124" s="50">
        <f>IF(D93="","-",+C123+1)</f>
        <v>2034</v>
      </c>
      <c r="D124" s="12">
        <f>IF(F123+SUM(E$99:E123)=D$92,F123,D$92-SUM(E$99:E123))</f>
        <v>370973</v>
      </c>
      <c r="E124" s="355">
        <f>IF(+J96&lt;F123,J96,D124)</f>
        <v>24158</v>
      </c>
      <c r="F124" s="55">
        <f t="shared" si="74"/>
        <v>346815</v>
      </c>
      <c r="G124" s="55">
        <f t="shared" si="75"/>
        <v>358894</v>
      </c>
      <c r="H124" s="356">
        <f t="shared" si="76"/>
        <v>72364.179019661125</v>
      </c>
      <c r="I124" s="381">
        <f t="shared" si="77"/>
        <v>72364.179019661125</v>
      </c>
      <c r="J124" s="54">
        <f t="shared" si="43"/>
        <v>0</v>
      </c>
      <c r="K124" s="54"/>
      <c r="L124" s="115"/>
      <c r="M124" s="54">
        <f t="shared" si="45"/>
        <v>0</v>
      </c>
      <c r="N124" s="115"/>
      <c r="O124" s="54">
        <f t="shared" si="47"/>
        <v>0</v>
      </c>
      <c r="P124" s="54">
        <f t="shared" si="48"/>
        <v>0</v>
      </c>
    </row>
    <row r="125" spans="2:16" ht="12.5">
      <c r="B125" s="7" t="str">
        <f t="shared" si="49"/>
        <v/>
      </c>
      <c r="C125" s="50">
        <f>IF(D93="","-",+C124+1)</f>
        <v>2035</v>
      </c>
      <c r="D125" s="12">
        <f>IF(F124+SUM(E$99:E124)=D$92,F124,D$92-SUM(E$99:E124))</f>
        <v>346815</v>
      </c>
      <c r="E125" s="355">
        <f>IF(+J96&lt;F124,J96,D125)</f>
        <v>24158</v>
      </c>
      <c r="F125" s="55">
        <f t="shared" si="74"/>
        <v>322657</v>
      </c>
      <c r="G125" s="55">
        <f t="shared" si="75"/>
        <v>334736</v>
      </c>
      <c r="H125" s="356">
        <f t="shared" si="76"/>
        <v>69119.307629342627</v>
      </c>
      <c r="I125" s="381">
        <f t="shared" si="77"/>
        <v>69119.307629342627</v>
      </c>
      <c r="J125" s="54">
        <f t="shared" si="43"/>
        <v>0</v>
      </c>
      <c r="K125" s="54"/>
      <c r="L125" s="115"/>
      <c r="M125" s="54">
        <f t="shared" si="45"/>
        <v>0</v>
      </c>
      <c r="N125" s="115"/>
      <c r="O125" s="54">
        <f t="shared" si="47"/>
        <v>0</v>
      </c>
      <c r="P125" s="54">
        <f t="shared" si="48"/>
        <v>0</v>
      </c>
    </row>
    <row r="126" spans="2:16" ht="12.5">
      <c r="B126" s="7" t="str">
        <f t="shared" si="49"/>
        <v/>
      </c>
      <c r="C126" s="50">
        <f>IF(D93="","-",+C125+1)</f>
        <v>2036</v>
      </c>
      <c r="D126" s="12">
        <f>IF(F125+SUM(E$99:E125)=D$92,F125,D$92-SUM(E$99:E125))</f>
        <v>322657</v>
      </c>
      <c r="E126" s="355">
        <f>IF(+J96&lt;F125,J96,D126)</f>
        <v>24158</v>
      </c>
      <c r="F126" s="55">
        <f t="shared" si="74"/>
        <v>298499</v>
      </c>
      <c r="G126" s="55">
        <f t="shared" si="75"/>
        <v>310578</v>
      </c>
      <c r="H126" s="356">
        <f t="shared" si="76"/>
        <v>65874.4362390241</v>
      </c>
      <c r="I126" s="381">
        <f t="shared" si="77"/>
        <v>65874.4362390241</v>
      </c>
      <c r="J126" s="54">
        <f t="shared" si="43"/>
        <v>0</v>
      </c>
      <c r="K126" s="54"/>
      <c r="L126" s="115"/>
      <c r="M126" s="54">
        <f t="shared" si="45"/>
        <v>0</v>
      </c>
      <c r="N126" s="115"/>
      <c r="O126" s="54">
        <f t="shared" si="47"/>
        <v>0</v>
      </c>
      <c r="P126" s="54">
        <f t="shared" si="48"/>
        <v>0</v>
      </c>
    </row>
    <row r="127" spans="2:16" ht="12.5">
      <c r="B127" s="7" t="str">
        <f t="shared" si="49"/>
        <v/>
      </c>
      <c r="C127" s="50">
        <f>IF(D93="","-",+C126+1)</f>
        <v>2037</v>
      </c>
      <c r="D127" s="12">
        <f>IF(F126+SUM(E$99:E126)=D$92,F126,D$92-SUM(E$99:E126))</f>
        <v>298499</v>
      </c>
      <c r="E127" s="355">
        <f>IF(+J96&lt;F126,J96,D127)</f>
        <v>24158</v>
      </c>
      <c r="F127" s="55">
        <f t="shared" si="74"/>
        <v>274341</v>
      </c>
      <c r="G127" s="55">
        <f t="shared" si="75"/>
        <v>286420</v>
      </c>
      <c r="H127" s="356">
        <f t="shared" si="76"/>
        <v>62629.564848705581</v>
      </c>
      <c r="I127" s="381">
        <f t="shared" si="77"/>
        <v>62629.564848705581</v>
      </c>
      <c r="J127" s="54">
        <f t="shared" si="43"/>
        <v>0</v>
      </c>
      <c r="K127" s="54"/>
      <c r="L127" s="115"/>
      <c r="M127" s="54">
        <f t="shared" si="45"/>
        <v>0</v>
      </c>
      <c r="N127" s="115"/>
      <c r="O127" s="54">
        <f t="shared" si="47"/>
        <v>0</v>
      </c>
      <c r="P127" s="54">
        <f t="shared" si="48"/>
        <v>0</v>
      </c>
    </row>
    <row r="128" spans="2:16" ht="12.5">
      <c r="B128" s="7" t="str">
        <f t="shared" si="49"/>
        <v/>
      </c>
      <c r="C128" s="50">
        <f>IF(D93="","-",+C127+1)</f>
        <v>2038</v>
      </c>
      <c r="D128" s="12">
        <f>IF(F127+SUM(E$99:E127)=D$92,F127,D$92-SUM(E$99:E127))</f>
        <v>274341</v>
      </c>
      <c r="E128" s="355">
        <f>IF(+J96&lt;F127,J96,D128)</f>
        <v>24158</v>
      </c>
      <c r="F128" s="55">
        <f t="shared" si="74"/>
        <v>250183</v>
      </c>
      <c r="G128" s="55">
        <f t="shared" si="75"/>
        <v>262262</v>
      </c>
      <c r="H128" s="356">
        <f t="shared" si="76"/>
        <v>59384.693458387068</v>
      </c>
      <c r="I128" s="381">
        <f t="shared" si="77"/>
        <v>59384.693458387068</v>
      </c>
      <c r="J128" s="54">
        <f t="shared" si="43"/>
        <v>0</v>
      </c>
      <c r="K128" s="54"/>
      <c r="L128" s="115"/>
      <c r="M128" s="54">
        <f t="shared" si="45"/>
        <v>0</v>
      </c>
      <c r="N128" s="115"/>
      <c r="O128" s="54">
        <f t="shared" si="47"/>
        <v>0</v>
      </c>
      <c r="P128" s="54">
        <f t="shared" si="48"/>
        <v>0</v>
      </c>
    </row>
    <row r="129" spans="2:16" ht="12.5">
      <c r="B129" s="7" t="str">
        <f t="shared" si="49"/>
        <v/>
      </c>
      <c r="C129" s="50">
        <f>IF(D93="","-",+C128+1)</f>
        <v>2039</v>
      </c>
      <c r="D129" s="12">
        <f>IF(F128+SUM(E$99:E128)=D$92,F128,D$92-SUM(E$99:E128))</f>
        <v>250183</v>
      </c>
      <c r="E129" s="355">
        <f>IF(+J96&lt;F128,J96,D129)</f>
        <v>24158</v>
      </c>
      <c r="F129" s="55">
        <f t="shared" si="74"/>
        <v>226025</v>
      </c>
      <c r="G129" s="55">
        <f t="shared" si="75"/>
        <v>238104</v>
      </c>
      <c r="H129" s="356">
        <f t="shared" si="76"/>
        <v>56139.822068068548</v>
      </c>
      <c r="I129" s="381">
        <f t="shared" si="77"/>
        <v>56139.822068068548</v>
      </c>
      <c r="J129" s="54">
        <f t="shared" si="43"/>
        <v>0</v>
      </c>
      <c r="K129" s="54"/>
      <c r="L129" s="115"/>
      <c r="M129" s="54">
        <f t="shared" si="45"/>
        <v>0</v>
      </c>
      <c r="N129" s="115"/>
      <c r="O129" s="54">
        <f t="shared" si="47"/>
        <v>0</v>
      </c>
      <c r="P129" s="54">
        <f t="shared" si="48"/>
        <v>0</v>
      </c>
    </row>
    <row r="130" spans="2:16" ht="12.5">
      <c r="B130" s="7" t="str">
        <f t="shared" si="49"/>
        <v/>
      </c>
      <c r="C130" s="50">
        <f>IF(D93="","-",+C129+1)</f>
        <v>2040</v>
      </c>
      <c r="D130" s="12">
        <f>IF(F129+SUM(E$99:E129)=D$92,F129,D$92-SUM(E$99:E129))</f>
        <v>226025</v>
      </c>
      <c r="E130" s="355">
        <f>IF(+J96&lt;F129,J96,D130)</f>
        <v>24158</v>
      </c>
      <c r="F130" s="55">
        <f t="shared" si="74"/>
        <v>201867</v>
      </c>
      <c r="G130" s="55">
        <f t="shared" si="75"/>
        <v>213946</v>
      </c>
      <c r="H130" s="356">
        <f t="shared" si="76"/>
        <v>52894.950677750036</v>
      </c>
      <c r="I130" s="381">
        <f t="shared" si="77"/>
        <v>52894.950677750036</v>
      </c>
      <c r="J130" s="54">
        <f t="shared" si="43"/>
        <v>0</v>
      </c>
      <c r="K130" s="54"/>
      <c r="L130" s="115"/>
      <c r="M130" s="54">
        <f t="shared" si="45"/>
        <v>0</v>
      </c>
      <c r="N130" s="115"/>
      <c r="O130" s="54">
        <f t="shared" si="47"/>
        <v>0</v>
      </c>
      <c r="P130" s="54">
        <f t="shared" si="48"/>
        <v>0</v>
      </c>
    </row>
    <row r="131" spans="2:16" ht="12.5">
      <c r="B131" s="7" t="str">
        <f t="shared" si="49"/>
        <v/>
      </c>
      <c r="C131" s="50">
        <f>IF(D93="","-",+C130+1)</f>
        <v>2041</v>
      </c>
      <c r="D131" s="12">
        <f>IF(F130+SUM(E$99:E130)=D$92,F130,D$92-SUM(E$99:E130))</f>
        <v>201867</v>
      </c>
      <c r="E131" s="355">
        <f>IF(+J96&lt;F130,J96,D131)</f>
        <v>24158</v>
      </c>
      <c r="F131" s="55">
        <f t="shared" ref="F131:F154" si="78">+D131-E131</f>
        <v>177709</v>
      </c>
      <c r="G131" s="55">
        <f t="shared" ref="G131:G154" si="79">+(F131+D131)/2</f>
        <v>189788</v>
      </c>
      <c r="H131" s="356">
        <f t="shared" si="76"/>
        <v>49650.079287431523</v>
      </c>
      <c r="I131" s="381">
        <f t="shared" si="77"/>
        <v>49650.079287431523</v>
      </c>
      <c r="J131" s="54">
        <f t="shared" ref="J131:J154" si="80">+I131-H131</f>
        <v>0</v>
      </c>
      <c r="K131" s="54"/>
      <c r="L131" s="115"/>
      <c r="M131" s="54">
        <f t="shared" ref="M131:M154" si="81">IF(L131&lt;&gt;0,+H131-L131,0)</f>
        <v>0</v>
      </c>
      <c r="N131" s="115"/>
      <c r="O131" s="54">
        <f t="shared" ref="O131:O154" si="82">IF(N131&lt;&gt;0,+I131-N131,0)</f>
        <v>0</v>
      </c>
      <c r="P131" s="54">
        <f t="shared" ref="P131:P154" si="83">+O131-M131</f>
        <v>0</v>
      </c>
    </row>
    <row r="132" spans="2:16" ht="12.5">
      <c r="B132" s="7" t="str">
        <f t="shared" si="49"/>
        <v/>
      </c>
      <c r="C132" s="50">
        <f>IF(D93="","-",+C131+1)</f>
        <v>2042</v>
      </c>
      <c r="D132" s="12">
        <f>IF(F131+SUM(E$99:E131)=D$92,F131,D$92-SUM(E$99:E131))</f>
        <v>177709</v>
      </c>
      <c r="E132" s="355">
        <f>IF(+J96&lt;F131,J96,D132)</f>
        <v>24158</v>
      </c>
      <c r="F132" s="55">
        <f t="shared" si="78"/>
        <v>153551</v>
      </c>
      <c r="G132" s="55">
        <f t="shared" si="79"/>
        <v>165630</v>
      </c>
      <c r="H132" s="356">
        <f t="shared" ref="H132:H154" si="84">+J$94*G132+E132</f>
        <v>46405.207897113003</v>
      </c>
      <c r="I132" s="381">
        <f t="shared" ref="I132:I154" si="85">+J$95*G132+E132</f>
        <v>46405.207897113003</v>
      </c>
      <c r="J132" s="54">
        <f t="shared" si="80"/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 ht="12.5">
      <c r="B133" s="7" t="str">
        <f t="shared" si="49"/>
        <v/>
      </c>
      <c r="C133" s="50">
        <f>IF(D93="","-",+C132+1)</f>
        <v>2043</v>
      </c>
      <c r="D133" s="12">
        <f>IF(F132+SUM(E$99:E132)=D$92,F132,D$92-SUM(E$99:E132))</f>
        <v>153551</v>
      </c>
      <c r="E133" s="355">
        <f>IF(+J96&lt;F132,J96,D133)</f>
        <v>24158</v>
      </c>
      <c r="F133" s="55">
        <f t="shared" si="78"/>
        <v>129393</v>
      </c>
      <c r="G133" s="55">
        <f t="shared" si="79"/>
        <v>141472</v>
      </c>
      <c r="H133" s="356">
        <f t="shared" si="84"/>
        <v>43160.336506794483</v>
      </c>
      <c r="I133" s="381">
        <f t="shared" si="85"/>
        <v>43160.336506794483</v>
      </c>
      <c r="J133" s="54">
        <f t="shared" si="80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 ht="12.5">
      <c r="B134" s="7" t="str">
        <f t="shared" si="49"/>
        <v/>
      </c>
      <c r="C134" s="50">
        <f>IF(D93="","-",+C133+1)</f>
        <v>2044</v>
      </c>
      <c r="D134" s="12">
        <f>IF(F133+SUM(E$99:E133)=D$92,F133,D$92-SUM(E$99:E133))</f>
        <v>129393</v>
      </c>
      <c r="E134" s="355">
        <f>IF(+J96&lt;F133,J96,D134)</f>
        <v>24158</v>
      </c>
      <c r="F134" s="55">
        <f t="shared" si="78"/>
        <v>105235</v>
      </c>
      <c r="G134" s="55">
        <f t="shared" si="79"/>
        <v>117314</v>
      </c>
      <c r="H134" s="356">
        <f t="shared" si="84"/>
        <v>39915.465116475971</v>
      </c>
      <c r="I134" s="381">
        <f t="shared" si="85"/>
        <v>39915.465116475971</v>
      </c>
      <c r="J134" s="54">
        <f t="shared" si="80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 ht="12.5">
      <c r="B135" s="7" t="str">
        <f t="shared" si="49"/>
        <v/>
      </c>
      <c r="C135" s="50">
        <f>IF(D93="","-",+C134+1)</f>
        <v>2045</v>
      </c>
      <c r="D135" s="12">
        <f>IF(F134+SUM(E$99:E134)=D$92,F134,D$92-SUM(E$99:E134))</f>
        <v>105235</v>
      </c>
      <c r="E135" s="355">
        <f>IF(+J96&lt;F134,J96,D135)</f>
        <v>24158</v>
      </c>
      <c r="F135" s="55">
        <f t="shared" si="78"/>
        <v>81077</v>
      </c>
      <c r="G135" s="55">
        <f t="shared" si="79"/>
        <v>93156</v>
      </c>
      <c r="H135" s="356">
        <f t="shared" si="84"/>
        <v>36670.593726157451</v>
      </c>
      <c r="I135" s="381">
        <f t="shared" si="85"/>
        <v>36670.593726157451</v>
      </c>
      <c r="J135" s="54">
        <f t="shared" si="80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 ht="12.5">
      <c r="B136" s="7" t="str">
        <f t="shared" si="49"/>
        <v/>
      </c>
      <c r="C136" s="50">
        <f>IF(D93="","-",+C135+1)</f>
        <v>2046</v>
      </c>
      <c r="D136" s="12">
        <f>IF(F135+SUM(E$99:E135)=D$92,F135,D$92-SUM(E$99:E135))</f>
        <v>81077</v>
      </c>
      <c r="E136" s="355">
        <f>IF(+J96&lt;F135,J96,D136)</f>
        <v>24158</v>
      </c>
      <c r="F136" s="55">
        <f t="shared" si="78"/>
        <v>56919</v>
      </c>
      <c r="G136" s="55">
        <f t="shared" si="79"/>
        <v>68998</v>
      </c>
      <c r="H136" s="356">
        <f t="shared" si="84"/>
        <v>33425.722335838931</v>
      </c>
      <c r="I136" s="381">
        <f t="shared" si="85"/>
        <v>33425.722335838931</v>
      </c>
      <c r="J136" s="54">
        <f t="shared" si="80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 ht="12.5">
      <c r="B137" s="7" t="str">
        <f t="shared" si="49"/>
        <v/>
      </c>
      <c r="C137" s="50">
        <f>IF(D93="","-",+C136+1)</f>
        <v>2047</v>
      </c>
      <c r="D137" s="12">
        <f>IF(F136+SUM(E$99:E136)=D$92,F136,D$92-SUM(E$99:E136))</f>
        <v>56919</v>
      </c>
      <c r="E137" s="355">
        <f>IF(+J96&lt;F136,J96,D137)</f>
        <v>24158</v>
      </c>
      <c r="F137" s="55">
        <f t="shared" si="78"/>
        <v>32761</v>
      </c>
      <c r="G137" s="55">
        <f t="shared" si="79"/>
        <v>44840</v>
      </c>
      <c r="H137" s="356">
        <f t="shared" si="84"/>
        <v>30180.850945520418</v>
      </c>
      <c r="I137" s="381">
        <f t="shared" si="85"/>
        <v>30180.850945520418</v>
      </c>
      <c r="J137" s="54">
        <f t="shared" si="80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 ht="12.5">
      <c r="B138" s="7" t="str">
        <f t="shared" si="49"/>
        <v/>
      </c>
      <c r="C138" s="50">
        <f>IF(D93="","-",+C137+1)</f>
        <v>2048</v>
      </c>
      <c r="D138" s="12">
        <f>IF(F137+SUM(E$99:E137)=D$92,F137,D$92-SUM(E$99:E137))</f>
        <v>32761</v>
      </c>
      <c r="E138" s="355">
        <f>IF(+J96&lt;F137,J96,D138)</f>
        <v>24158</v>
      </c>
      <c r="F138" s="55">
        <f t="shared" si="78"/>
        <v>8603</v>
      </c>
      <c r="G138" s="55">
        <f t="shared" si="79"/>
        <v>20682</v>
      </c>
      <c r="H138" s="356">
        <f t="shared" si="84"/>
        <v>26935.979555201902</v>
      </c>
      <c r="I138" s="381">
        <f t="shared" si="85"/>
        <v>26935.979555201902</v>
      </c>
      <c r="J138" s="54">
        <f t="shared" si="80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 ht="12.5">
      <c r="B139" s="7" t="str">
        <f t="shared" si="49"/>
        <v/>
      </c>
      <c r="C139" s="50">
        <f>IF(D93="","-",+C138+1)</f>
        <v>2049</v>
      </c>
      <c r="D139" s="12">
        <f>IF(F138+SUM(E$99:E138)=D$92,F138,D$92-SUM(E$99:E138))</f>
        <v>8603</v>
      </c>
      <c r="E139" s="355">
        <f>IF(+J96&lt;F138,J96,D139)</f>
        <v>8603</v>
      </c>
      <c r="F139" s="55">
        <f t="shared" si="78"/>
        <v>0</v>
      </c>
      <c r="G139" s="55">
        <f t="shared" si="79"/>
        <v>4301.5</v>
      </c>
      <c r="H139" s="356">
        <f t="shared" si="84"/>
        <v>9180.7719300213212</v>
      </c>
      <c r="I139" s="381">
        <f t="shared" si="85"/>
        <v>9180.7719300213212</v>
      </c>
      <c r="J139" s="54">
        <f t="shared" si="80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 ht="12.5">
      <c r="B140" s="7" t="str">
        <f t="shared" si="49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8"/>
        <v>0</v>
      </c>
      <c r="G140" s="55">
        <f t="shared" si="79"/>
        <v>0</v>
      </c>
      <c r="H140" s="356">
        <f t="shared" si="84"/>
        <v>0</v>
      </c>
      <c r="I140" s="381">
        <f t="shared" si="85"/>
        <v>0</v>
      </c>
      <c r="J140" s="54">
        <f t="shared" si="80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 ht="12.5">
      <c r="B141" s="7" t="str">
        <f t="shared" si="49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8"/>
        <v>0</v>
      </c>
      <c r="G141" s="55">
        <f t="shared" si="79"/>
        <v>0</v>
      </c>
      <c r="H141" s="356">
        <f t="shared" si="84"/>
        <v>0</v>
      </c>
      <c r="I141" s="381">
        <f t="shared" si="85"/>
        <v>0</v>
      </c>
      <c r="J141" s="54">
        <f t="shared" si="80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 ht="12.5">
      <c r="B142" s="7" t="str">
        <f t="shared" si="49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8"/>
        <v>0</v>
      </c>
      <c r="G142" s="55">
        <f t="shared" si="79"/>
        <v>0</v>
      </c>
      <c r="H142" s="356">
        <f t="shared" si="84"/>
        <v>0</v>
      </c>
      <c r="I142" s="381">
        <f t="shared" si="85"/>
        <v>0</v>
      </c>
      <c r="J142" s="54">
        <f t="shared" si="80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 ht="12.5">
      <c r="B143" s="7" t="str">
        <f t="shared" si="49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8"/>
        <v>0</v>
      </c>
      <c r="G143" s="55">
        <f t="shared" si="79"/>
        <v>0</v>
      </c>
      <c r="H143" s="356">
        <f t="shared" si="84"/>
        <v>0</v>
      </c>
      <c r="I143" s="381">
        <f t="shared" si="85"/>
        <v>0</v>
      </c>
      <c r="J143" s="54">
        <f t="shared" si="80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 ht="12.5">
      <c r="B144" s="7" t="str">
        <f t="shared" si="49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8"/>
        <v>0</v>
      </c>
      <c r="G144" s="55">
        <f t="shared" si="79"/>
        <v>0</v>
      </c>
      <c r="H144" s="356">
        <f t="shared" si="84"/>
        <v>0</v>
      </c>
      <c r="I144" s="381">
        <f t="shared" si="85"/>
        <v>0</v>
      </c>
      <c r="J144" s="54">
        <f t="shared" si="80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 ht="12.5">
      <c r="B145" s="7" t="str">
        <f t="shared" si="49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8"/>
        <v>0</v>
      </c>
      <c r="G145" s="55">
        <f t="shared" si="79"/>
        <v>0</v>
      </c>
      <c r="H145" s="356">
        <f t="shared" si="84"/>
        <v>0</v>
      </c>
      <c r="I145" s="381">
        <f t="shared" si="85"/>
        <v>0</v>
      </c>
      <c r="J145" s="54">
        <f t="shared" si="80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 ht="12.5">
      <c r="B146" s="7" t="str">
        <f t="shared" si="49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8"/>
        <v>0</v>
      </c>
      <c r="G146" s="55">
        <f t="shared" si="79"/>
        <v>0</v>
      </c>
      <c r="H146" s="356">
        <f t="shared" si="84"/>
        <v>0</v>
      </c>
      <c r="I146" s="381">
        <f t="shared" si="85"/>
        <v>0</v>
      </c>
      <c r="J146" s="54">
        <f t="shared" si="80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 ht="12.5">
      <c r="B147" s="7" t="str">
        <f t="shared" si="49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8"/>
        <v>0</v>
      </c>
      <c r="G147" s="55">
        <f t="shared" si="79"/>
        <v>0</v>
      </c>
      <c r="H147" s="356">
        <f t="shared" si="84"/>
        <v>0</v>
      </c>
      <c r="I147" s="381">
        <f t="shared" si="85"/>
        <v>0</v>
      </c>
      <c r="J147" s="54">
        <f t="shared" si="80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 ht="12.5">
      <c r="B148" s="7" t="str">
        <f t="shared" si="49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8"/>
        <v>0</v>
      </c>
      <c r="G148" s="55">
        <f t="shared" si="79"/>
        <v>0</v>
      </c>
      <c r="H148" s="356">
        <f t="shared" si="84"/>
        <v>0</v>
      </c>
      <c r="I148" s="381">
        <f t="shared" si="85"/>
        <v>0</v>
      </c>
      <c r="J148" s="54">
        <f t="shared" si="80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 ht="12.5">
      <c r="B149" s="7" t="str">
        <f t="shared" si="49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8"/>
        <v>0</v>
      </c>
      <c r="G149" s="55">
        <f t="shared" si="79"/>
        <v>0</v>
      </c>
      <c r="H149" s="356">
        <f t="shared" si="84"/>
        <v>0</v>
      </c>
      <c r="I149" s="381">
        <f t="shared" si="85"/>
        <v>0</v>
      </c>
      <c r="J149" s="54">
        <f t="shared" si="80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 ht="12.5">
      <c r="B150" s="7" t="str">
        <f t="shared" si="49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8"/>
        <v>0</v>
      </c>
      <c r="G150" s="55">
        <f t="shared" si="79"/>
        <v>0</v>
      </c>
      <c r="H150" s="356">
        <f t="shared" si="84"/>
        <v>0</v>
      </c>
      <c r="I150" s="381">
        <f t="shared" si="85"/>
        <v>0</v>
      </c>
      <c r="J150" s="54">
        <f t="shared" si="80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 ht="12.5">
      <c r="B151" s="7" t="str">
        <f t="shared" si="49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8"/>
        <v>0</v>
      </c>
      <c r="G151" s="55">
        <f t="shared" si="79"/>
        <v>0</v>
      </c>
      <c r="H151" s="356">
        <f t="shared" si="84"/>
        <v>0</v>
      </c>
      <c r="I151" s="381">
        <f t="shared" si="85"/>
        <v>0</v>
      </c>
      <c r="J151" s="54">
        <f t="shared" si="80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 ht="12.5">
      <c r="B152" s="7" t="str">
        <f t="shared" si="49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8"/>
        <v>0</v>
      </c>
      <c r="G152" s="55">
        <f t="shared" si="79"/>
        <v>0</v>
      </c>
      <c r="H152" s="356">
        <f t="shared" si="84"/>
        <v>0</v>
      </c>
      <c r="I152" s="381">
        <f t="shared" si="85"/>
        <v>0</v>
      </c>
      <c r="J152" s="54">
        <f t="shared" si="80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 ht="12.5">
      <c r="B153" s="7" t="str">
        <f t="shared" si="49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8"/>
        <v>0</v>
      </c>
      <c r="G153" s="55">
        <f t="shared" si="79"/>
        <v>0</v>
      </c>
      <c r="H153" s="356">
        <f t="shared" si="84"/>
        <v>0</v>
      </c>
      <c r="I153" s="381">
        <f t="shared" si="85"/>
        <v>0</v>
      </c>
      <c r="J153" s="54">
        <f t="shared" si="80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" thickBot="1">
      <c r="B154" s="7" t="str">
        <f t="shared" si="49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8"/>
        <v>0</v>
      </c>
      <c r="G154" s="59">
        <f t="shared" si="79"/>
        <v>0</v>
      </c>
      <c r="H154" s="358">
        <f t="shared" si="84"/>
        <v>0</v>
      </c>
      <c r="I154" s="383">
        <f t="shared" si="85"/>
        <v>0</v>
      </c>
      <c r="J154" s="62">
        <f t="shared" si="80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 ht="12.5">
      <c r="C155" s="12" t="s">
        <v>77</v>
      </c>
      <c r="D155" s="267"/>
      <c r="E155" s="267">
        <f>SUM(E99:E154)</f>
        <v>893858</v>
      </c>
      <c r="F155" s="267"/>
      <c r="G155" s="267"/>
      <c r="H155" s="267">
        <f>SUM(H99:H154)</f>
        <v>3367066.4541726885</v>
      </c>
      <c r="I155" s="267">
        <f>SUM(I99:I154)</f>
        <v>3367066.4541726885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384" t="s">
        <v>145</v>
      </c>
    </row>
  </sheetData>
  <phoneticPr fontId="0" type="noConversion"/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6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4E81F-FE6C-4AD0-A452-41068C8512BA}">
  <dimension ref="A1:V162"/>
  <sheetViews>
    <sheetView zoomScaleNormal="100" zoomScaleSheetLayoutView="78" workbookViewId="0">
      <selection activeCell="C13" sqref="C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"&amp;COUNT(P.001:P.037!$P$3)</f>
        <v>PSO Project 37 of 37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34268.611922405158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34268.611922405158</v>
      </c>
      <c r="O6" s="1"/>
      <c r="P6" s="1"/>
    </row>
    <row r="7" spans="1:16" ht="13.5" thickBot="1">
      <c r="C7" s="26" t="s">
        <v>46</v>
      </c>
      <c r="D7" s="459" t="s">
        <v>431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430</v>
      </c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468463.3031492373</v>
      </c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5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12327.981661822034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2026</v>
      </c>
      <c r="D17" s="12">
        <v>0</v>
      </c>
      <c r="E17" s="51">
        <f>IF(D10&gt;=100000,I$14/12*(12-D12),0)</f>
        <v>7191.3226360628523</v>
      </c>
      <c r="F17" s="55">
        <f>IF(D11=C17,+D10-E17,+D17-E17)</f>
        <v>461271.98051317444</v>
      </c>
      <c r="G17" s="51">
        <f>(D17+F17)/2*I$12+E17</f>
        <v>34268.611922405158</v>
      </c>
      <c r="H17" s="42">
        <f>+(D17+F17)/2*I$13+E17</f>
        <v>34268.611922405158</v>
      </c>
      <c r="I17" s="52">
        <f>H17-G17</f>
        <v>0</v>
      </c>
      <c r="J17" s="52"/>
      <c r="K17" s="117"/>
      <c r="L17" s="53">
        <f t="shared" ref="L17:L72" si="0">IF(K17&lt;&gt;0,+G17-K17,0)</f>
        <v>0</v>
      </c>
      <c r="M17" s="117"/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2027</v>
      </c>
      <c r="D18" s="55">
        <f>IF(F17+SUM(E$17:E17)=D$10,F17,D$10-SUM(E$17:E17))</f>
        <v>461271.98051317444</v>
      </c>
      <c r="E18" s="56">
        <f>IF(+I$14&lt;F17,I$14,D18)</f>
        <v>12327.981661822034</v>
      </c>
      <c r="F18" s="55">
        <f>+D18-E18</f>
        <v>448943.99885135243</v>
      </c>
      <c r="G18" s="57">
        <f>(D18+F18)/2*I$12+E18</f>
        <v>65758.891033089923</v>
      </c>
      <c r="H18" s="42">
        <f>+(D18+F18)/2*I$13+E18</f>
        <v>65758.891033089923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2028</v>
      </c>
      <c r="D19" s="55">
        <f>IF(F18+SUM(E$17:E18)=D$10,F18,D$10-SUM(E$17:E18))</f>
        <v>448943.99885135243</v>
      </c>
      <c r="E19" s="56">
        <f t="shared" ref="E19:E71" si="3">IF(+I$14&lt;F18,I$14,D19)</f>
        <v>12327.981661822034</v>
      </c>
      <c r="F19" s="55">
        <f t="shared" ref="F19:F71" si="4">+D19-E19</f>
        <v>436616.01718953042</v>
      </c>
      <c r="G19" s="57">
        <f t="shared" ref="G19:G71" si="5">(D19+F19)/2*I$12+E19</f>
        <v>64311.552630256483</v>
      </c>
      <c r="H19" s="42">
        <f t="shared" ref="H19:H71" si="6">+(D19+F19)/2*I$13+E19</f>
        <v>64311.552630256483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2029</v>
      </c>
      <c r="D20" s="55">
        <f>IF(F19+SUM(E$17:E19)=D$10,F19,D$10-SUM(E$17:E19))</f>
        <v>436616.01718953042</v>
      </c>
      <c r="E20" s="56">
        <f t="shared" si="3"/>
        <v>12327.981661822034</v>
      </c>
      <c r="F20" s="55">
        <f t="shared" si="4"/>
        <v>424288.03552770842</v>
      </c>
      <c r="G20" s="57">
        <f t="shared" si="5"/>
        <v>62864.214227423057</v>
      </c>
      <c r="H20" s="42">
        <f t="shared" si="6"/>
        <v>62864.214227423057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8"/>
        <v/>
      </c>
      <c r="C21" s="50">
        <f>IF(D11="","-",+C20+1)</f>
        <v>2030</v>
      </c>
      <c r="D21" s="55">
        <f>IF(F20+SUM(E$17:E20)=D$10,F20,D$10-SUM(E$17:E20))</f>
        <v>424288.03552770842</v>
      </c>
      <c r="E21" s="56">
        <f t="shared" si="3"/>
        <v>12327.981661822034</v>
      </c>
      <c r="F21" s="55">
        <f t="shared" si="4"/>
        <v>411960.05386588641</v>
      </c>
      <c r="G21" s="57">
        <f t="shared" si="5"/>
        <v>61416.87582458961</v>
      </c>
      <c r="H21" s="42">
        <f t="shared" si="6"/>
        <v>61416.87582458961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 ht="12.5">
      <c r="B22" s="7" t="str">
        <f t="shared" si="8"/>
        <v/>
      </c>
      <c r="C22" s="50">
        <f>IF(D11="","-",+C21+1)</f>
        <v>2031</v>
      </c>
      <c r="D22" s="55">
        <f>IF(F21+SUM(E$17:E21)=D$10,F21,D$10-SUM(E$17:E21))</f>
        <v>411960.05386588641</v>
      </c>
      <c r="E22" s="56">
        <f t="shared" si="3"/>
        <v>12327.981661822034</v>
      </c>
      <c r="F22" s="55">
        <f t="shared" si="4"/>
        <v>399632.0722040644</v>
      </c>
      <c r="G22" s="57">
        <f t="shared" si="5"/>
        <v>59969.537421756177</v>
      </c>
      <c r="H22" s="42">
        <f t="shared" si="6"/>
        <v>59969.537421756177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8"/>
        <v/>
      </c>
      <c r="C23" s="50">
        <f>IF(D11="","-",+C22+1)</f>
        <v>2032</v>
      </c>
      <c r="D23" s="55">
        <f>IF(F22+SUM(E$17:E22)=D$10,F22,D$10-SUM(E$17:E22))</f>
        <v>399632.0722040644</v>
      </c>
      <c r="E23" s="56">
        <f t="shared" si="3"/>
        <v>12327.981661822034</v>
      </c>
      <c r="F23" s="55">
        <f t="shared" si="4"/>
        <v>387304.0905422424</v>
      </c>
      <c r="G23" s="57">
        <f t="shared" si="5"/>
        <v>58522.199018922729</v>
      </c>
      <c r="H23" s="42">
        <f t="shared" si="6"/>
        <v>58522.199018922729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8"/>
        <v/>
      </c>
      <c r="C24" s="50">
        <f>IF(D11="","-",+C23+1)</f>
        <v>2033</v>
      </c>
      <c r="D24" s="55">
        <f>IF(F23+SUM(E$17:E23)=D$10,F23,D$10-SUM(E$17:E23))</f>
        <v>387304.0905422424</v>
      </c>
      <c r="E24" s="56">
        <f t="shared" si="3"/>
        <v>12327.981661822034</v>
      </c>
      <c r="F24" s="55">
        <f t="shared" si="4"/>
        <v>374976.10888042039</v>
      </c>
      <c r="G24" s="57">
        <f t="shared" si="5"/>
        <v>57074.860616089303</v>
      </c>
      <c r="H24" s="42">
        <f t="shared" si="6"/>
        <v>57074.860616089303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8"/>
        <v/>
      </c>
      <c r="C25" s="50">
        <f>IF(D11="","-",+C24+1)</f>
        <v>2034</v>
      </c>
      <c r="D25" s="55">
        <f>IF(F24+SUM(E$17:E24)=D$10,F24,D$10-SUM(E$17:E24))</f>
        <v>374976.10888042039</v>
      </c>
      <c r="E25" s="56">
        <f t="shared" si="3"/>
        <v>12327.981661822034</v>
      </c>
      <c r="F25" s="55">
        <f t="shared" si="4"/>
        <v>362648.12721859838</v>
      </c>
      <c r="G25" s="57">
        <f t="shared" si="5"/>
        <v>55627.522213255856</v>
      </c>
      <c r="H25" s="42">
        <f t="shared" si="6"/>
        <v>55627.522213255856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8"/>
        <v/>
      </c>
      <c r="C26" s="50">
        <f>IF(D11="","-",+C25+1)</f>
        <v>2035</v>
      </c>
      <c r="D26" s="55">
        <f>IF(F25+SUM(E$17:E25)=D$10,F25,D$10-SUM(E$17:E25))</f>
        <v>362648.12721859815</v>
      </c>
      <c r="E26" s="56">
        <f t="shared" si="3"/>
        <v>12327.981661822034</v>
      </c>
      <c r="F26" s="55">
        <f t="shared" si="4"/>
        <v>350320.14555677614</v>
      </c>
      <c r="G26" s="57">
        <f t="shared" si="5"/>
        <v>54180.183810422393</v>
      </c>
      <c r="H26" s="42">
        <f t="shared" si="6"/>
        <v>54180.183810422393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8"/>
        <v/>
      </c>
      <c r="C27" s="50">
        <f>IF(D11="","-",+C26+1)</f>
        <v>2036</v>
      </c>
      <c r="D27" s="55">
        <f>IF(F26+SUM(E$17:E26)=D$10,F26,D$10-SUM(E$17:E26))</f>
        <v>350320.14555677614</v>
      </c>
      <c r="E27" s="56">
        <f t="shared" si="3"/>
        <v>12327.981661822034</v>
      </c>
      <c r="F27" s="55">
        <f t="shared" si="4"/>
        <v>337992.16389495414</v>
      </c>
      <c r="G27" s="57">
        <f t="shared" si="5"/>
        <v>52732.845407588953</v>
      </c>
      <c r="H27" s="42">
        <f t="shared" si="6"/>
        <v>52732.845407588953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8"/>
        <v/>
      </c>
      <c r="C28" s="50">
        <f>IF(D11="","-",+C27+1)</f>
        <v>2037</v>
      </c>
      <c r="D28" s="55">
        <f>IF(F27+SUM(E$17:E27)=D$10,F27,D$10-SUM(E$17:E27))</f>
        <v>337992.16389495414</v>
      </c>
      <c r="E28" s="56">
        <f t="shared" si="3"/>
        <v>12327.981661822034</v>
      </c>
      <c r="F28" s="55">
        <f t="shared" si="4"/>
        <v>325664.18223313213</v>
      </c>
      <c r="G28" s="57">
        <f t="shared" si="5"/>
        <v>51285.50700475552</v>
      </c>
      <c r="H28" s="42">
        <f t="shared" si="6"/>
        <v>51285.50700475552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8"/>
        <v/>
      </c>
      <c r="C29" s="50">
        <f>IF(D11="","-",+C28+1)</f>
        <v>2038</v>
      </c>
      <c r="D29" s="55">
        <f>IF(F28+SUM(E$17:E28)=D$10,F28,D$10-SUM(E$17:E28))</f>
        <v>325664.18223313213</v>
      </c>
      <c r="E29" s="56">
        <f t="shared" si="3"/>
        <v>12327.981661822034</v>
      </c>
      <c r="F29" s="55">
        <f t="shared" si="4"/>
        <v>313336.20057131012</v>
      </c>
      <c r="G29" s="57">
        <f t="shared" si="5"/>
        <v>49838.168601922072</v>
      </c>
      <c r="H29" s="42">
        <f t="shared" si="6"/>
        <v>49838.168601922072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8"/>
        <v/>
      </c>
      <c r="C30" s="50">
        <f>IF(D11="","-",+C29+1)</f>
        <v>2039</v>
      </c>
      <c r="D30" s="55">
        <f>IF(F29+SUM(E$17:E29)=D$10,F29,D$10-SUM(E$17:E29))</f>
        <v>313336.20057131012</v>
      </c>
      <c r="E30" s="56">
        <f t="shared" si="3"/>
        <v>12327.981661822034</v>
      </c>
      <c r="F30" s="55">
        <f t="shared" si="4"/>
        <v>301008.21890948812</v>
      </c>
      <c r="G30" s="57">
        <f t="shared" si="5"/>
        <v>48390.830199088639</v>
      </c>
      <c r="H30" s="42">
        <f t="shared" si="6"/>
        <v>48390.830199088639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8"/>
        <v/>
      </c>
      <c r="C31" s="50">
        <f>IF(D11="","-",+C30+1)</f>
        <v>2040</v>
      </c>
      <c r="D31" s="55">
        <f>IF(F30+SUM(E$17:E30)=D$10,F30,D$10-SUM(E$17:E30))</f>
        <v>301008.21890948812</v>
      </c>
      <c r="E31" s="56">
        <f t="shared" si="3"/>
        <v>12327.981661822034</v>
      </c>
      <c r="F31" s="55">
        <f t="shared" si="4"/>
        <v>288680.23724766611</v>
      </c>
      <c r="G31" s="57">
        <f t="shared" si="5"/>
        <v>46943.491796255199</v>
      </c>
      <c r="H31" s="42">
        <f t="shared" si="6"/>
        <v>46943.491796255199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8"/>
        <v/>
      </c>
      <c r="C32" s="50">
        <f>IF(D11="","-",+C31+1)</f>
        <v>2041</v>
      </c>
      <c r="D32" s="55">
        <f>IF(F31+SUM(E$17:E31)=D$10,F31,D$10-SUM(E$17:E31))</f>
        <v>288680.23724766611</v>
      </c>
      <c r="E32" s="56">
        <f t="shared" si="3"/>
        <v>12327.981661822034</v>
      </c>
      <c r="F32" s="55">
        <f t="shared" si="4"/>
        <v>276352.2555858441</v>
      </c>
      <c r="G32" s="57">
        <f t="shared" si="5"/>
        <v>45496.153393421766</v>
      </c>
      <c r="H32" s="42">
        <f t="shared" si="6"/>
        <v>45496.153393421766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8"/>
        <v/>
      </c>
      <c r="C33" s="50">
        <f>IF(D11="","-",+C32+1)</f>
        <v>2042</v>
      </c>
      <c r="D33" s="55">
        <f>IF(F32+SUM(E$17:E32)=D$10,F32,D$10-SUM(E$17:E32))</f>
        <v>276352.2555858441</v>
      </c>
      <c r="E33" s="56">
        <f t="shared" si="3"/>
        <v>12327.981661822034</v>
      </c>
      <c r="F33" s="55">
        <f t="shared" si="4"/>
        <v>264024.2739240221</v>
      </c>
      <c r="G33" s="57">
        <f t="shared" si="5"/>
        <v>44048.814990588318</v>
      </c>
      <c r="H33" s="42">
        <f t="shared" si="6"/>
        <v>44048.814990588318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8"/>
        <v/>
      </c>
      <c r="C34" s="50">
        <f>IF(D11="","-",+C33+1)</f>
        <v>2043</v>
      </c>
      <c r="D34" s="55">
        <f>IF(F33+SUM(E$17:E33)=D$10,F33,D$10-SUM(E$17:E33))</f>
        <v>264024.27392402187</v>
      </c>
      <c r="E34" s="56">
        <f t="shared" si="3"/>
        <v>12327.981661822034</v>
      </c>
      <c r="F34" s="55">
        <f t="shared" si="4"/>
        <v>251696.29226219983</v>
      </c>
      <c r="G34" s="57">
        <f t="shared" si="5"/>
        <v>42601.476587754849</v>
      </c>
      <c r="H34" s="42">
        <f t="shared" si="6"/>
        <v>42601.476587754849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8"/>
        <v/>
      </c>
      <c r="C35" s="50">
        <f>IF(D11="","-",+C34+1)</f>
        <v>2044</v>
      </c>
      <c r="D35" s="55">
        <f>IF(F34+SUM(E$17:E34)=D$10,F34,D$10-SUM(E$17:E34))</f>
        <v>251696.29226219983</v>
      </c>
      <c r="E35" s="56">
        <f t="shared" si="3"/>
        <v>12327.981661822034</v>
      </c>
      <c r="F35" s="55">
        <f t="shared" si="4"/>
        <v>239368.31060037779</v>
      </c>
      <c r="G35" s="57">
        <f t="shared" si="5"/>
        <v>41154.138184921416</v>
      </c>
      <c r="H35" s="42">
        <f t="shared" si="6"/>
        <v>41154.138184921416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8"/>
        <v/>
      </c>
      <c r="C36" s="50">
        <f>IF(D11="","-",+C35+1)</f>
        <v>2045</v>
      </c>
      <c r="D36" s="55">
        <f>IF(F35+SUM(E$17:E35)=D$10,F35,D$10-SUM(E$17:E35))</f>
        <v>239368.31060037779</v>
      </c>
      <c r="E36" s="56">
        <f t="shared" si="3"/>
        <v>12327.981661822034</v>
      </c>
      <c r="F36" s="55">
        <f t="shared" si="4"/>
        <v>227040.32893855576</v>
      </c>
      <c r="G36" s="57">
        <f t="shared" si="5"/>
        <v>39706.799782087968</v>
      </c>
      <c r="H36" s="42">
        <f t="shared" si="6"/>
        <v>39706.799782087968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8"/>
        <v/>
      </c>
      <c r="C37" s="50">
        <f>IF(D11="","-",+C36+1)</f>
        <v>2046</v>
      </c>
      <c r="D37" s="55">
        <f>IF(F36+SUM(E$17:E36)=D$10,F36,D$10-SUM(E$17:E36))</f>
        <v>227040.32893855576</v>
      </c>
      <c r="E37" s="56">
        <f t="shared" si="3"/>
        <v>12327.981661822034</v>
      </c>
      <c r="F37" s="55">
        <f t="shared" si="4"/>
        <v>214712.34727673372</v>
      </c>
      <c r="G37" s="57">
        <f t="shared" si="5"/>
        <v>38259.461379254528</v>
      </c>
      <c r="H37" s="42">
        <f t="shared" si="6"/>
        <v>38259.461379254528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8"/>
        <v/>
      </c>
      <c r="C38" s="50">
        <f>IF(D11="","-",+C37+1)</f>
        <v>2047</v>
      </c>
      <c r="D38" s="55">
        <f>IF(F37+SUM(E$17:E37)=D$10,F37,D$10-SUM(E$17:E37))</f>
        <v>214712.34727673372</v>
      </c>
      <c r="E38" s="56">
        <f t="shared" si="3"/>
        <v>12327.981661822034</v>
      </c>
      <c r="F38" s="55">
        <f t="shared" si="4"/>
        <v>202384.36561491169</v>
      </c>
      <c r="G38" s="57">
        <f t="shared" si="5"/>
        <v>36812.12297642108</v>
      </c>
      <c r="H38" s="42">
        <f t="shared" si="6"/>
        <v>36812.12297642108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8"/>
        <v/>
      </c>
      <c r="C39" s="50">
        <f>IF(D11="","-",+C38+1)</f>
        <v>2048</v>
      </c>
      <c r="D39" s="55">
        <f>IF(F38+SUM(E$17:E38)=D$10,F38,D$10-SUM(E$17:E38))</f>
        <v>202384.36561491169</v>
      </c>
      <c r="E39" s="56">
        <f t="shared" si="3"/>
        <v>12327.981661822034</v>
      </c>
      <c r="F39" s="55">
        <f t="shared" si="4"/>
        <v>190056.38395308965</v>
      </c>
      <c r="G39" s="57">
        <f t="shared" si="5"/>
        <v>35364.784573587647</v>
      </c>
      <c r="H39" s="42">
        <f t="shared" si="6"/>
        <v>35364.784573587647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8"/>
        <v/>
      </c>
      <c r="C40" s="50">
        <f>IF(D11="","-",+C39+1)</f>
        <v>2049</v>
      </c>
      <c r="D40" s="55">
        <f>IF(F39+SUM(E$17:E39)=D$10,F39,D$10-SUM(E$17:E39))</f>
        <v>190056.38395308965</v>
      </c>
      <c r="E40" s="56">
        <f t="shared" si="3"/>
        <v>12327.981661822034</v>
      </c>
      <c r="F40" s="55">
        <f t="shared" si="4"/>
        <v>177728.40229126762</v>
      </c>
      <c r="G40" s="57">
        <f t="shared" si="5"/>
        <v>33917.4461707542</v>
      </c>
      <c r="H40" s="42">
        <f t="shared" si="6"/>
        <v>33917.4461707542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8"/>
        <v/>
      </c>
      <c r="C41" s="50">
        <f>IF(D11="","-",+C40+1)</f>
        <v>2050</v>
      </c>
      <c r="D41" s="55">
        <f>IF(F40+SUM(E$17:E40)=D$10,F40,D$10-SUM(E$17:E40))</f>
        <v>177728.40229126762</v>
      </c>
      <c r="E41" s="56">
        <f t="shared" si="3"/>
        <v>12327.981661822034</v>
      </c>
      <c r="F41" s="55">
        <f t="shared" si="4"/>
        <v>165400.42062944558</v>
      </c>
      <c r="G41" s="57">
        <f t="shared" si="5"/>
        <v>32470.107767920759</v>
      </c>
      <c r="H41" s="42">
        <f t="shared" si="6"/>
        <v>32470.107767920759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8"/>
        <v/>
      </c>
      <c r="C42" s="50">
        <f>IF(D11="","-",+C41+1)</f>
        <v>2051</v>
      </c>
      <c r="D42" s="55">
        <f>IF(F41+SUM(E$17:E41)=D$10,F41,D$10-SUM(E$17:E41))</f>
        <v>165400.42062944558</v>
      </c>
      <c r="E42" s="56">
        <f t="shared" si="3"/>
        <v>12327.981661822034</v>
      </c>
      <c r="F42" s="55">
        <f t="shared" si="4"/>
        <v>153072.43896762354</v>
      </c>
      <c r="G42" s="57">
        <f t="shared" si="5"/>
        <v>31022.769365087319</v>
      </c>
      <c r="H42" s="42">
        <f t="shared" si="6"/>
        <v>31022.769365087319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8"/>
        <v/>
      </c>
      <c r="C43" s="50">
        <f>IF(D11="","-",+C42+1)</f>
        <v>2052</v>
      </c>
      <c r="D43" s="55">
        <f>IF(F42+SUM(E$17:E42)=D$10,F42,D$10-SUM(E$17:E42))</f>
        <v>153072.43896762354</v>
      </c>
      <c r="E43" s="56">
        <f t="shared" si="3"/>
        <v>12327.981661822034</v>
      </c>
      <c r="F43" s="55">
        <f t="shared" si="4"/>
        <v>140744.45730580151</v>
      </c>
      <c r="G43" s="57">
        <f t="shared" si="5"/>
        <v>29575.430962253879</v>
      </c>
      <c r="H43" s="42">
        <f t="shared" si="6"/>
        <v>29575.430962253879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8"/>
        <v/>
      </c>
      <c r="C44" s="50">
        <f>IF(D11="","-",+C43+1)</f>
        <v>2053</v>
      </c>
      <c r="D44" s="55">
        <f>IF(F43+SUM(E$17:E43)=D$10,F43,D$10-SUM(E$17:E43))</f>
        <v>140744.45730580151</v>
      </c>
      <c r="E44" s="56">
        <f t="shared" si="3"/>
        <v>12327.981661822034</v>
      </c>
      <c r="F44" s="55">
        <f t="shared" si="4"/>
        <v>128416.47564397947</v>
      </c>
      <c r="G44" s="57">
        <f t="shared" si="5"/>
        <v>28128.092559420431</v>
      </c>
      <c r="H44" s="42">
        <f t="shared" si="6"/>
        <v>28128.092559420431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8"/>
        <v/>
      </c>
      <c r="C45" s="50">
        <f>IF(D11="","-",+C44+1)</f>
        <v>2054</v>
      </c>
      <c r="D45" s="55">
        <f>IF(F44+SUM(E$17:E44)=D$10,F44,D$10-SUM(E$17:E44))</f>
        <v>128416.47564397947</v>
      </c>
      <c r="E45" s="56">
        <f t="shared" si="3"/>
        <v>12327.981661822034</v>
      </c>
      <c r="F45" s="55">
        <f t="shared" si="4"/>
        <v>116088.49398215744</v>
      </c>
      <c r="G45" s="57">
        <f t="shared" si="5"/>
        <v>26680.754156586991</v>
      </c>
      <c r="H45" s="42">
        <f t="shared" si="6"/>
        <v>26680.754156586991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8"/>
        <v/>
      </c>
      <c r="C46" s="50">
        <f>IF(D11="","-",+C45+1)</f>
        <v>2055</v>
      </c>
      <c r="D46" s="55">
        <f>IF(F45+SUM(E$17:E45)=D$10,F45,D$10-SUM(E$17:E45))</f>
        <v>116088.49398215744</v>
      </c>
      <c r="E46" s="56">
        <f t="shared" si="3"/>
        <v>12327.981661822034</v>
      </c>
      <c r="F46" s="55">
        <f t="shared" si="4"/>
        <v>103760.5123203354</v>
      </c>
      <c r="G46" s="57">
        <f t="shared" si="5"/>
        <v>25233.41575375355</v>
      </c>
      <c r="H46" s="42">
        <f t="shared" si="6"/>
        <v>25233.41575375355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8"/>
        <v/>
      </c>
      <c r="C47" s="50">
        <f>IF(D11="","-",+C46+1)</f>
        <v>2056</v>
      </c>
      <c r="D47" s="55">
        <f>IF(F46+SUM(E$17:E46)=D$10,F46,D$10-SUM(E$17:E46))</f>
        <v>103760.5123203354</v>
      </c>
      <c r="E47" s="56">
        <f t="shared" si="3"/>
        <v>12327.981661822034</v>
      </c>
      <c r="F47" s="55">
        <f t="shared" si="4"/>
        <v>91432.530658513366</v>
      </c>
      <c r="G47" s="57">
        <f t="shared" si="5"/>
        <v>23786.07735092011</v>
      </c>
      <c r="H47" s="42">
        <f t="shared" si="6"/>
        <v>23786.07735092011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8"/>
        <v/>
      </c>
      <c r="C48" s="50">
        <f>IF(D11="","-",+C47+1)</f>
        <v>2057</v>
      </c>
      <c r="D48" s="55">
        <f>IF(F47+SUM(E$17:E47)=D$10,F47,D$10-SUM(E$17:E47))</f>
        <v>91432.530658513366</v>
      </c>
      <c r="E48" s="56">
        <f t="shared" si="3"/>
        <v>12327.981661822034</v>
      </c>
      <c r="F48" s="55">
        <f t="shared" si="4"/>
        <v>79104.54899669133</v>
      </c>
      <c r="G48" s="57">
        <f t="shared" si="5"/>
        <v>22338.738948086666</v>
      </c>
      <c r="H48" s="42">
        <f t="shared" si="6"/>
        <v>22338.738948086666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22" ht="12.5">
      <c r="B49" s="7" t="str">
        <f t="shared" si="8"/>
        <v/>
      </c>
      <c r="C49" s="50">
        <f>IF(D11="","-",+C48+1)</f>
        <v>2058</v>
      </c>
      <c r="D49" s="55">
        <f>IF(F48+SUM(E$17:E48)=D$10,F48,D$10-SUM(E$17:E48))</f>
        <v>79104.54899669133</v>
      </c>
      <c r="E49" s="56">
        <f t="shared" si="3"/>
        <v>12327.981661822034</v>
      </c>
      <c r="F49" s="55">
        <f t="shared" si="4"/>
        <v>66776.567334869294</v>
      </c>
      <c r="G49" s="57">
        <f t="shared" si="5"/>
        <v>20891.400545253222</v>
      </c>
      <c r="H49" s="42">
        <f t="shared" si="6"/>
        <v>20891.400545253222</v>
      </c>
      <c r="I49" s="52">
        <f t="shared" si="7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22" ht="12.5">
      <c r="B50" s="7" t="str">
        <f t="shared" si="8"/>
        <v/>
      </c>
      <c r="C50" s="50">
        <f>IF(D11="","-",+C49+1)</f>
        <v>2059</v>
      </c>
      <c r="D50" s="55">
        <f>IF(F49+SUM(E$17:E49)=D$10,F49,D$10-SUM(E$17:E49))</f>
        <v>66776.567334869294</v>
      </c>
      <c r="E50" s="56">
        <f t="shared" si="3"/>
        <v>12327.981661822034</v>
      </c>
      <c r="F50" s="55">
        <f t="shared" si="4"/>
        <v>54448.585673047259</v>
      </c>
      <c r="G50" s="57">
        <f t="shared" si="5"/>
        <v>19444.062142419782</v>
      </c>
      <c r="H50" s="42">
        <f t="shared" si="6"/>
        <v>19444.062142419782</v>
      </c>
      <c r="I50" s="52">
        <f t="shared" si="7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22" ht="12.5">
      <c r="B51" s="7" t="str">
        <f t="shared" si="8"/>
        <v/>
      </c>
      <c r="C51" s="50">
        <f>IF(D11="","-",+C50+1)</f>
        <v>2060</v>
      </c>
      <c r="D51" s="55">
        <f>IF(F50+SUM(E$17:E50)=D$10,F50,D$10-SUM(E$17:E50))</f>
        <v>54448.585673047259</v>
      </c>
      <c r="E51" s="56">
        <f t="shared" si="3"/>
        <v>12327.981661822034</v>
      </c>
      <c r="F51" s="55">
        <f t="shared" si="4"/>
        <v>42120.604011225223</v>
      </c>
      <c r="G51" s="57">
        <f t="shared" si="5"/>
        <v>17996.723739586341</v>
      </c>
      <c r="H51" s="42">
        <f t="shared" si="6"/>
        <v>17996.723739586341</v>
      </c>
      <c r="I51" s="52">
        <f t="shared" si="7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  <c r="V51" t="s">
        <v>455</v>
      </c>
    </row>
    <row r="52" spans="2:22" ht="12.5">
      <c r="B52" s="7" t="str">
        <f t="shared" si="8"/>
        <v/>
      </c>
      <c r="C52" s="50">
        <f>IF(D11="","-",+C51+1)</f>
        <v>2061</v>
      </c>
      <c r="D52" s="55">
        <f>IF(F51+SUM(E$17:E51)=D$10,F51,D$10-SUM(E$17:E51))</f>
        <v>42120.604011225223</v>
      </c>
      <c r="E52" s="56">
        <f t="shared" si="3"/>
        <v>12327.981661822034</v>
      </c>
      <c r="F52" s="55">
        <f t="shared" si="4"/>
        <v>29792.622349403187</v>
      </c>
      <c r="G52" s="57">
        <f t="shared" si="5"/>
        <v>16549.385336752897</v>
      </c>
      <c r="H52" s="42">
        <f t="shared" si="6"/>
        <v>16549.385336752897</v>
      </c>
      <c r="I52" s="52">
        <f t="shared" si="7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22" ht="12.5">
      <c r="B53" s="7" t="str">
        <f t="shared" si="8"/>
        <v/>
      </c>
      <c r="C53" s="50">
        <f>IF(D11="","-",+C52+1)</f>
        <v>2062</v>
      </c>
      <c r="D53" s="55">
        <f>IF(F52+SUM(E$17:E52)=D$10,F52,D$10-SUM(E$17:E52))</f>
        <v>29792.622349403187</v>
      </c>
      <c r="E53" s="56">
        <f t="shared" si="3"/>
        <v>12327.981661822034</v>
      </c>
      <c r="F53" s="55">
        <f t="shared" si="4"/>
        <v>17464.640687581152</v>
      </c>
      <c r="G53" s="57">
        <f t="shared" si="5"/>
        <v>15102.046933919457</v>
      </c>
      <c r="H53" s="42">
        <f t="shared" si="6"/>
        <v>15102.046933919457</v>
      </c>
      <c r="I53" s="52">
        <f t="shared" si="7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22" ht="12.5">
      <c r="B54" s="7" t="str">
        <f t="shared" si="8"/>
        <v/>
      </c>
      <c r="C54" s="50">
        <f>IF(D11="","-",+C53+1)</f>
        <v>2063</v>
      </c>
      <c r="D54" s="55">
        <f>IF(F53+SUM(E$17:E53)=D$10,F53,D$10-SUM(E$17:E53))</f>
        <v>17464.640687581152</v>
      </c>
      <c r="E54" s="56">
        <f t="shared" si="3"/>
        <v>12327.981661822034</v>
      </c>
      <c r="F54" s="55">
        <f t="shared" si="4"/>
        <v>5136.6590257591179</v>
      </c>
      <c r="G54" s="57">
        <f t="shared" si="5"/>
        <v>13654.708531086015</v>
      </c>
      <c r="H54" s="42">
        <f t="shared" si="6"/>
        <v>13654.708531086015</v>
      </c>
      <c r="I54" s="52">
        <f t="shared" si="7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22" ht="12.5">
      <c r="B55" s="7" t="str">
        <f t="shared" si="8"/>
        <v/>
      </c>
      <c r="C55" s="50">
        <f>IF(D11="","-",+C54+1)</f>
        <v>2064</v>
      </c>
      <c r="D55" s="55">
        <f>IF(F54+SUM(E$17:E54)=D$10,F54,D$10-SUM(E$17:E54))</f>
        <v>5136.6590257591179</v>
      </c>
      <c r="E55" s="56">
        <f t="shared" si="3"/>
        <v>5136.6590257591179</v>
      </c>
      <c r="F55" s="55">
        <f t="shared" si="4"/>
        <v>0</v>
      </c>
      <c r="G55" s="57">
        <f t="shared" si="5"/>
        <v>5438.1878596827482</v>
      </c>
      <c r="H55" s="42">
        <f t="shared" si="6"/>
        <v>5438.1878596827482</v>
      </c>
      <c r="I55" s="52">
        <f t="shared" si="7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22" ht="12.5">
      <c r="B56" s="7" t="str">
        <f t="shared" si="8"/>
        <v/>
      </c>
      <c r="C56" s="50">
        <f>IF(D11="","-",+C55+1)</f>
        <v>2065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22" ht="12.5">
      <c r="B57" s="7" t="str">
        <f t="shared" si="8"/>
        <v/>
      </c>
      <c r="C57" s="50">
        <f>IF(D11="","-",+C56+1)</f>
        <v>2066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22" ht="12.5">
      <c r="B58" s="7" t="str">
        <f t="shared" si="8"/>
        <v/>
      </c>
      <c r="C58" s="50">
        <f>IF(D11="","-",+C57+1)</f>
        <v>2067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22" ht="12.5">
      <c r="B59" s="7" t="str">
        <f t="shared" si="8"/>
        <v/>
      </c>
      <c r="C59" s="50">
        <f>IF(D11="","-",+C58+1)</f>
        <v>2068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22" ht="12.5">
      <c r="B60" s="7" t="str">
        <f t="shared" si="8"/>
        <v/>
      </c>
      <c r="C60" s="50">
        <f>IF(D11="","-",+C59+1)</f>
        <v>2069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22" ht="12.5">
      <c r="B61" s="7" t="str">
        <f t="shared" si="8"/>
        <v/>
      </c>
      <c r="C61" s="50">
        <f>IF(D11="","-",+C60+1)</f>
        <v>2070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22" ht="12.5">
      <c r="B62" s="7" t="str">
        <f t="shared" si="8"/>
        <v/>
      </c>
      <c r="C62" s="50">
        <f>IF(D11="","-",+C61+1)</f>
        <v>2071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22" ht="12.5">
      <c r="B63" s="7" t="str">
        <f t="shared" si="8"/>
        <v/>
      </c>
      <c r="C63" s="50">
        <f>IF(D11="","-",+C62+1)</f>
        <v>2072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22" ht="12.5">
      <c r="B64" s="7" t="str">
        <f t="shared" si="8"/>
        <v/>
      </c>
      <c r="C64" s="50">
        <f>IF(D11="","-",+C63+1)</f>
        <v>2073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 ht="12.5">
      <c r="B65" s="7" t="str">
        <f t="shared" si="8"/>
        <v/>
      </c>
      <c r="C65" s="50">
        <f>IF(D11="","-",+C64+1)</f>
        <v>2074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 ht="12.5">
      <c r="B66" s="7" t="str">
        <f t="shared" si="8"/>
        <v/>
      </c>
      <c r="C66" s="50">
        <f>IF(D11="","-",+C65+1)</f>
        <v>2075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 ht="12.5">
      <c r="B67" s="7" t="str">
        <f t="shared" si="8"/>
        <v/>
      </c>
      <c r="C67" s="50">
        <f>IF(D11="","-",+C66+1)</f>
        <v>2076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 ht="12.5">
      <c r="B68" s="7" t="str">
        <f t="shared" si="8"/>
        <v/>
      </c>
      <c r="C68" s="50">
        <f>IF(D11="","-",+C67+1)</f>
        <v>2077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 ht="12.5">
      <c r="B69" s="7" t="str">
        <f t="shared" si="8"/>
        <v/>
      </c>
      <c r="C69" s="50">
        <f>IF(D11="","-",+C68+1)</f>
        <v>2078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 ht="12.5">
      <c r="B70" s="7" t="str">
        <f t="shared" si="8"/>
        <v/>
      </c>
      <c r="C70" s="50">
        <f>IF(D11="","-",+C69+1)</f>
        <v>2079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 ht="12.5">
      <c r="B71" s="7" t="str">
        <f t="shared" si="8"/>
        <v/>
      </c>
      <c r="C71" s="50">
        <f>IF(D11="","-",+C70+1)</f>
        <v>2080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8"/>
        <v/>
      </c>
      <c r="C72" s="58">
        <f>IF(D11="","-",+C71+1)</f>
        <v>2081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 ht="12.5">
      <c r="C73" s="12" t="s">
        <v>77</v>
      </c>
      <c r="D73" s="14"/>
      <c r="E73" s="14">
        <f>SUM(E17:E72)</f>
        <v>468463.30314923683</v>
      </c>
      <c r="F73" s="14"/>
      <c r="G73" s="14">
        <f>SUM(G17:G72)</f>
        <v>1508858.3917193436</v>
      </c>
      <c r="H73" s="14">
        <f>SUM(H17:H72)</f>
        <v>1508858.3917193436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37 of 37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N-Pine &amp; Peoria 138 Rebu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TP2024005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f>IF(D11=I10,0,D10)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 t="str">
        <f>IF(D11=I10,"",D12)</f>
        <v/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2015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9">IF(L99&lt;&gt;0,+H99-L99,0)</f>
        <v>0</v>
      </c>
      <c r="N99" s="114"/>
      <c r="O99" s="53">
        <f t="shared" ref="O99:O130" si="10">IF(N99&lt;&gt;0,+I99-N99,0)</f>
        <v>0</v>
      </c>
      <c r="P99" s="53">
        <f t="shared" ref="P99:P130" si="11">+O99-M99</f>
        <v>0</v>
      </c>
    </row>
    <row r="100" spans="1:16" ht="12.5">
      <c r="B100" s="7" t="str">
        <f>IF(D100=F99,"","IU")</f>
        <v/>
      </c>
      <c r="C100" s="50">
        <f>IF(D93="","-",+C99+1)</f>
        <v>2016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2">+J$94*G100+E100</f>
        <v>0</v>
      </c>
      <c r="I100" s="122">
        <f t="shared" ref="I100:I154" si="13">+J$95*G100+E100</f>
        <v>0</v>
      </c>
      <c r="J100" s="54">
        <f t="shared" ref="J100:J130" si="14">+I100-H100</f>
        <v>0</v>
      </c>
      <c r="K100" s="54"/>
      <c r="L100" s="115"/>
      <c r="M100" s="54">
        <f t="shared" si="9"/>
        <v>0</v>
      </c>
      <c r="N100" s="115"/>
      <c r="O100" s="54">
        <f t="shared" si="10"/>
        <v>0</v>
      </c>
      <c r="P100" s="54">
        <f t="shared" si="11"/>
        <v>0</v>
      </c>
    </row>
    <row r="101" spans="1:16" ht="12.5">
      <c r="B101" s="7" t="str">
        <f t="shared" ref="B101:B154" si="15">IF(D101=F100,"","IU")</f>
        <v/>
      </c>
      <c r="C101" s="50">
        <f>IF(D93="","-",+C100+1)</f>
        <v>2017</v>
      </c>
      <c r="D101" s="12">
        <f>IF(F100+SUM(E$99:E100)=D$92,F100,D$92-SUM(E$99:E100))</f>
        <v>0</v>
      </c>
      <c r="E101" s="56">
        <f t="shared" ref="E101:E154" si="16">IF(+J$96&lt;F100,J$96,D101)</f>
        <v>0</v>
      </c>
      <c r="F101" s="55">
        <f t="shared" ref="F101:F154" si="17">+D101-E101</f>
        <v>0</v>
      </c>
      <c r="G101" s="55">
        <f t="shared" ref="G101:G154" si="18">+(F101+D101)/2</f>
        <v>0</v>
      </c>
      <c r="H101" s="113">
        <f t="shared" si="12"/>
        <v>0</v>
      </c>
      <c r="I101" s="122">
        <f t="shared" si="13"/>
        <v>0</v>
      </c>
      <c r="J101" s="54">
        <f t="shared" si="14"/>
        <v>0</v>
      </c>
      <c r="K101" s="54"/>
      <c r="L101" s="115"/>
      <c r="M101" s="54">
        <f t="shared" si="9"/>
        <v>0</v>
      </c>
      <c r="N101" s="115"/>
      <c r="O101" s="54">
        <f t="shared" si="10"/>
        <v>0</v>
      </c>
      <c r="P101" s="54">
        <f t="shared" si="11"/>
        <v>0</v>
      </c>
    </row>
    <row r="102" spans="1:16" ht="12.5">
      <c r="B102" s="7" t="str">
        <f t="shared" si="15"/>
        <v/>
      </c>
      <c r="C102" s="50">
        <f>IF(D93="","-",+C101+1)</f>
        <v>2018</v>
      </c>
      <c r="D102" s="12">
        <f>IF(F101+SUM(E$99:E101)=D$92,F101,D$92-SUM(E$99:E101))</f>
        <v>0</v>
      </c>
      <c r="E102" s="56">
        <f t="shared" si="16"/>
        <v>0</v>
      </c>
      <c r="F102" s="55">
        <f t="shared" si="17"/>
        <v>0</v>
      </c>
      <c r="G102" s="55">
        <f t="shared" si="18"/>
        <v>0</v>
      </c>
      <c r="H102" s="113">
        <f t="shared" si="12"/>
        <v>0</v>
      </c>
      <c r="I102" s="122">
        <f t="shared" si="13"/>
        <v>0</v>
      </c>
      <c r="J102" s="54">
        <f t="shared" si="14"/>
        <v>0</v>
      </c>
      <c r="K102" s="54"/>
      <c r="L102" s="115"/>
      <c r="M102" s="54">
        <f t="shared" si="9"/>
        <v>0</v>
      </c>
      <c r="N102" s="115"/>
      <c r="O102" s="54">
        <f t="shared" si="10"/>
        <v>0</v>
      </c>
      <c r="P102" s="54">
        <f t="shared" si="11"/>
        <v>0</v>
      </c>
    </row>
    <row r="103" spans="1:16" ht="12.5">
      <c r="B103" s="7" t="str">
        <f t="shared" si="15"/>
        <v/>
      </c>
      <c r="C103" s="50">
        <f>IF(D93="","-",+C102+1)</f>
        <v>2019</v>
      </c>
      <c r="D103" s="12">
        <f>IF(F102+SUM(E$99:E102)=D$92,F102,D$92-SUM(E$99:E102))</f>
        <v>0</v>
      </c>
      <c r="E103" s="56">
        <f t="shared" si="16"/>
        <v>0</v>
      </c>
      <c r="F103" s="55">
        <f t="shared" si="17"/>
        <v>0</v>
      </c>
      <c r="G103" s="55">
        <f t="shared" si="18"/>
        <v>0</v>
      </c>
      <c r="H103" s="113">
        <f t="shared" si="12"/>
        <v>0</v>
      </c>
      <c r="I103" s="122">
        <f t="shared" si="13"/>
        <v>0</v>
      </c>
      <c r="J103" s="54">
        <f t="shared" si="14"/>
        <v>0</v>
      </c>
      <c r="K103" s="54"/>
      <c r="L103" s="115"/>
      <c r="M103" s="54">
        <f t="shared" si="9"/>
        <v>0</v>
      </c>
      <c r="N103" s="115"/>
      <c r="O103" s="54">
        <f t="shared" si="10"/>
        <v>0</v>
      </c>
      <c r="P103" s="54">
        <f t="shared" si="11"/>
        <v>0</v>
      </c>
    </row>
    <row r="104" spans="1:16" ht="12.5">
      <c r="B104" s="7" t="str">
        <f t="shared" si="15"/>
        <v/>
      </c>
      <c r="C104" s="50">
        <f>IF(D93="","-",+C103+1)</f>
        <v>2020</v>
      </c>
      <c r="D104" s="12">
        <f>IF(F103+SUM(E$99:E103)=D$92,F103,D$92-SUM(E$99:E103))</f>
        <v>0</v>
      </c>
      <c r="E104" s="56">
        <f t="shared" si="16"/>
        <v>0</v>
      </c>
      <c r="F104" s="55">
        <f t="shared" si="17"/>
        <v>0</v>
      </c>
      <c r="G104" s="55">
        <f t="shared" si="18"/>
        <v>0</v>
      </c>
      <c r="H104" s="113">
        <f t="shared" si="12"/>
        <v>0</v>
      </c>
      <c r="I104" s="122">
        <f t="shared" si="13"/>
        <v>0</v>
      </c>
      <c r="J104" s="54">
        <f t="shared" si="14"/>
        <v>0</v>
      </c>
      <c r="K104" s="54"/>
      <c r="L104" s="115"/>
      <c r="M104" s="54">
        <f t="shared" si="9"/>
        <v>0</v>
      </c>
      <c r="N104" s="115"/>
      <c r="O104" s="54">
        <f t="shared" si="10"/>
        <v>0</v>
      </c>
      <c r="P104" s="54">
        <f t="shared" si="11"/>
        <v>0</v>
      </c>
    </row>
    <row r="105" spans="1:16" ht="12.5">
      <c r="B105" s="7" t="str">
        <f t="shared" si="15"/>
        <v/>
      </c>
      <c r="C105" s="50">
        <f>IF(D93="","-",+C104+1)</f>
        <v>2021</v>
      </c>
      <c r="D105" s="12">
        <f>IF(F104+SUM(E$99:E104)=D$92,F104,D$92-SUM(E$99:E104))</f>
        <v>0</v>
      </c>
      <c r="E105" s="56">
        <f t="shared" si="16"/>
        <v>0</v>
      </c>
      <c r="F105" s="55">
        <f t="shared" si="17"/>
        <v>0</v>
      </c>
      <c r="G105" s="55">
        <f t="shared" si="18"/>
        <v>0</v>
      </c>
      <c r="H105" s="113">
        <f t="shared" si="12"/>
        <v>0</v>
      </c>
      <c r="I105" s="122">
        <f t="shared" si="13"/>
        <v>0</v>
      </c>
      <c r="J105" s="54">
        <f t="shared" si="14"/>
        <v>0</v>
      </c>
      <c r="K105" s="54"/>
      <c r="L105" s="115"/>
      <c r="M105" s="54">
        <f t="shared" si="9"/>
        <v>0</v>
      </c>
      <c r="N105" s="115"/>
      <c r="O105" s="54">
        <f t="shared" si="10"/>
        <v>0</v>
      </c>
      <c r="P105" s="54">
        <f t="shared" si="11"/>
        <v>0</v>
      </c>
    </row>
    <row r="106" spans="1:16" ht="12.5">
      <c r="B106" s="7" t="str">
        <f t="shared" si="15"/>
        <v/>
      </c>
      <c r="C106" s="50">
        <f>IF(D93="","-",+C105+1)</f>
        <v>2022</v>
      </c>
      <c r="D106" s="12">
        <f>IF(F105+SUM(E$99:E105)=D$92,F105,D$92-SUM(E$99:E105))</f>
        <v>0</v>
      </c>
      <c r="E106" s="56">
        <f t="shared" si="16"/>
        <v>0</v>
      </c>
      <c r="F106" s="55">
        <f t="shared" si="17"/>
        <v>0</v>
      </c>
      <c r="G106" s="55">
        <f t="shared" si="18"/>
        <v>0</v>
      </c>
      <c r="H106" s="113">
        <f t="shared" si="12"/>
        <v>0</v>
      </c>
      <c r="I106" s="122">
        <f t="shared" si="13"/>
        <v>0</v>
      </c>
      <c r="J106" s="54">
        <f t="shared" si="14"/>
        <v>0</v>
      </c>
      <c r="K106" s="54"/>
      <c r="L106" s="115"/>
      <c r="M106" s="54">
        <f t="shared" si="9"/>
        <v>0</v>
      </c>
      <c r="N106" s="115"/>
      <c r="O106" s="54">
        <f t="shared" si="10"/>
        <v>0</v>
      </c>
      <c r="P106" s="54">
        <f t="shared" si="11"/>
        <v>0</v>
      </c>
    </row>
    <row r="107" spans="1:16" ht="12.5">
      <c r="B107" s="7" t="str">
        <f t="shared" si="15"/>
        <v/>
      </c>
      <c r="C107" s="50">
        <f>IF(D93="","-",+C106+1)</f>
        <v>2023</v>
      </c>
      <c r="D107" s="12">
        <f>IF(F106+SUM(E$99:E106)=D$92,F106,D$92-SUM(E$99:E106))</f>
        <v>0</v>
      </c>
      <c r="E107" s="56">
        <f t="shared" si="16"/>
        <v>0</v>
      </c>
      <c r="F107" s="55">
        <f t="shared" si="17"/>
        <v>0</v>
      </c>
      <c r="G107" s="55">
        <f t="shared" si="18"/>
        <v>0</v>
      </c>
      <c r="H107" s="113">
        <f t="shared" si="12"/>
        <v>0</v>
      </c>
      <c r="I107" s="122">
        <f t="shared" si="13"/>
        <v>0</v>
      </c>
      <c r="J107" s="54">
        <f t="shared" si="14"/>
        <v>0</v>
      </c>
      <c r="K107" s="54"/>
      <c r="L107" s="115"/>
      <c r="M107" s="54">
        <f t="shared" si="9"/>
        <v>0</v>
      </c>
      <c r="N107" s="115"/>
      <c r="O107" s="54">
        <f t="shared" si="10"/>
        <v>0</v>
      </c>
      <c r="P107" s="54">
        <f t="shared" si="11"/>
        <v>0</v>
      </c>
    </row>
    <row r="108" spans="1:16" ht="12.5">
      <c r="B108" s="7" t="str">
        <f t="shared" si="15"/>
        <v/>
      </c>
      <c r="C108" s="50">
        <f>IF(D93="","-",+C107+1)</f>
        <v>2024</v>
      </c>
      <c r="D108" s="12">
        <f>IF(F107+SUM(E$99:E107)=D$92,F107,D$92-SUM(E$99:E107))</f>
        <v>0</v>
      </c>
      <c r="E108" s="56">
        <f t="shared" si="16"/>
        <v>0</v>
      </c>
      <c r="F108" s="55">
        <f t="shared" si="17"/>
        <v>0</v>
      </c>
      <c r="G108" s="55">
        <f t="shared" si="18"/>
        <v>0</v>
      </c>
      <c r="H108" s="113">
        <f t="shared" si="12"/>
        <v>0</v>
      </c>
      <c r="I108" s="122">
        <f t="shared" si="13"/>
        <v>0</v>
      </c>
      <c r="J108" s="54">
        <f t="shared" si="14"/>
        <v>0</v>
      </c>
      <c r="K108" s="54"/>
      <c r="L108" s="115"/>
      <c r="M108" s="54">
        <f t="shared" si="9"/>
        <v>0</v>
      </c>
      <c r="N108" s="115"/>
      <c r="O108" s="54">
        <f t="shared" si="10"/>
        <v>0</v>
      </c>
      <c r="P108" s="54">
        <f t="shared" si="11"/>
        <v>0</v>
      </c>
    </row>
    <row r="109" spans="1:16" ht="12.5">
      <c r="B109" s="7" t="str">
        <f t="shared" si="15"/>
        <v/>
      </c>
      <c r="C109" s="50">
        <f>IF(D93="","-",+C108+1)</f>
        <v>2025</v>
      </c>
      <c r="D109" s="12">
        <f>IF(F108+SUM(E$99:E108)=D$92,F108,D$92-SUM(E$99:E108))</f>
        <v>0</v>
      </c>
      <c r="E109" s="56">
        <f t="shared" si="16"/>
        <v>0</v>
      </c>
      <c r="F109" s="55">
        <f t="shared" si="17"/>
        <v>0</v>
      </c>
      <c r="G109" s="55">
        <f t="shared" si="18"/>
        <v>0</v>
      </c>
      <c r="H109" s="113">
        <f t="shared" si="12"/>
        <v>0</v>
      </c>
      <c r="I109" s="122">
        <f t="shared" si="13"/>
        <v>0</v>
      </c>
      <c r="J109" s="54">
        <f t="shared" si="14"/>
        <v>0</v>
      </c>
      <c r="K109" s="54"/>
      <c r="L109" s="115"/>
      <c r="M109" s="54">
        <f t="shared" si="9"/>
        <v>0</v>
      </c>
      <c r="N109" s="115"/>
      <c r="O109" s="54">
        <f t="shared" si="10"/>
        <v>0</v>
      </c>
      <c r="P109" s="54">
        <f t="shared" si="11"/>
        <v>0</v>
      </c>
    </row>
    <row r="110" spans="1:16" ht="12.5">
      <c r="B110" s="7" t="str">
        <f t="shared" si="15"/>
        <v/>
      </c>
      <c r="C110" s="50">
        <f>IF(D93="","-",+C109+1)</f>
        <v>2026</v>
      </c>
      <c r="D110" s="12">
        <f>IF(F109+SUM(E$99:E109)=D$92,F109,D$92-SUM(E$99:E109))</f>
        <v>0</v>
      </c>
      <c r="E110" s="56">
        <f t="shared" si="16"/>
        <v>0</v>
      </c>
      <c r="F110" s="55">
        <f t="shared" si="17"/>
        <v>0</v>
      </c>
      <c r="G110" s="55">
        <f t="shared" si="18"/>
        <v>0</v>
      </c>
      <c r="H110" s="113">
        <f t="shared" si="12"/>
        <v>0</v>
      </c>
      <c r="I110" s="122">
        <f t="shared" si="13"/>
        <v>0</v>
      </c>
      <c r="J110" s="54">
        <f t="shared" si="14"/>
        <v>0</v>
      </c>
      <c r="K110" s="54"/>
      <c r="L110" s="115"/>
      <c r="M110" s="54">
        <f t="shared" si="9"/>
        <v>0</v>
      </c>
      <c r="N110" s="115"/>
      <c r="O110" s="54">
        <f t="shared" si="10"/>
        <v>0</v>
      </c>
      <c r="P110" s="54">
        <f t="shared" si="11"/>
        <v>0</v>
      </c>
    </row>
    <row r="111" spans="1:16" ht="12.5">
      <c r="B111" s="7" t="str">
        <f t="shared" si="15"/>
        <v/>
      </c>
      <c r="C111" s="50">
        <f>IF(D93="","-",+C110+1)</f>
        <v>2027</v>
      </c>
      <c r="D111" s="12">
        <f>IF(F110+SUM(E$99:E110)=D$92,F110,D$92-SUM(E$99:E110))</f>
        <v>0</v>
      </c>
      <c r="E111" s="56">
        <f t="shared" si="16"/>
        <v>0</v>
      </c>
      <c r="F111" s="55">
        <f t="shared" si="17"/>
        <v>0</v>
      </c>
      <c r="G111" s="55">
        <f t="shared" si="18"/>
        <v>0</v>
      </c>
      <c r="H111" s="113">
        <f t="shared" si="12"/>
        <v>0</v>
      </c>
      <c r="I111" s="122">
        <f t="shared" si="13"/>
        <v>0</v>
      </c>
      <c r="J111" s="54">
        <f t="shared" si="14"/>
        <v>0</v>
      </c>
      <c r="K111" s="54"/>
      <c r="L111" s="115"/>
      <c r="M111" s="54">
        <f t="shared" si="9"/>
        <v>0</v>
      </c>
      <c r="N111" s="115"/>
      <c r="O111" s="54">
        <f t="shared" si="10"/>
        <v>0</v>
      </c>
      <c r="P111" s="54">
        <f t="shared" si="11"/>
        <v>0</v>
      </c>
    </row>
    <row r="112" spans="1:16" ht="12.5">
      <c r="B112" s="7" t="str">
        <f t="shared" si="15"/>
        <v/>
      </c>
      <c r="C112" s="50">
        <f>IF(D93="","-",+C111+1)</f>
        <v>2028</v>
      </c>
      <c r="D112" s="12">
        <f>IF(F111+SUM(E$99:E111)=D$92,F111,D$92-SUM(E$99:E111))</f>
        <v>0</v>
      </c>
      <c r="E112" s="56">
        <f t="shared" si="16"/>
        <v>0</v>
      </c>
      <c r="F112" s="55">
        <f t="shared" si="17"/>
        <v>0</v>
      </c>
      <c r="G112" s="55">
        <f t="shared" si="18"/>
        <v>0</v>
      </c>
      <c r="H112" s="113">
        <f t="shared" si="12"/>
        <v>0</v>
      </c>
      <c r="I112" s="122">
        <f t="shared" si="13"/>
        <v>0</v>
      </c>
      <c r="J112" s="54">
        <f t="shared" si="14"/>
        <v>0</v>
      </c>
      <c r="K112" s="54"/>
      <c r="L112" s="115"/>
      <c r="M112" s="54">
        <f t="shared" si="9"/>
        <v>0</v>
      </c>
      <c r="N112" s="115"/>
      <c r="O112" s="54">
        <f t="shared" si="10"/>
        <v>0</v>
      </c>
      <c r="P112" s="54">
        <f t="shared" si="11"/>
        <v>0</v>
      </c>
    </row>
    <row r="113" spans="2:16" ht="12.5">
      <c r="B113" s="7" t="str">
        <f t="shared" si="15"/>
        <v/>
      </c>
      <c r="C113" s="50">
        <f>IF(D93="","-",+C112+1)</f>
        <v>2029</v>
      </c>
      <c r="D113" s="12">
        <f>IF(F112+SUM(E$99:E112)=D$92,F112,D$92-SUM(E$99:E112))</f>
        <v>0</v>
      </c>
      <c r="E113" s="56">
        <f t="shared" si="16"/>
        <v>0</v>
      </c>
      <c r="F113" s="55">
        <f t="shared" si="17"/>
        <v>0</v>
      </c>
      <c r="G113" s="55">
        <f t="shared" si="18"/>
        <v>0</v>
      </c>
      <c r="H113" s="113">
        <f t="shared" si="12"/>
        <v>0</v>
      </c>
      <c r="I113" s="122">
        <f t="shared" si="13"/>
        <v>0</v>
      </c>
      <c r="J113" s="54">
        <f t="shared" si="14"/>
        <v>0</v>
      </c>
      <c r="K113" s="54"/>
      <c r="L113" s="115"/>
      <c r="M113" s="54">
        <f t="shared" si="9"/>
        <v>0</v>
      </c>
      <c r="N113" s="115"/>
      <c r="O113" s="54">
        <f t="shared" si="10"/>
        <v>0</v>
      </c>
      <c r="P113" s="54">
        <f t="shared" si="11"/>
        <v>0</v>
      </c>
    </row>
    <row r="114" spans="2:16" ht="12.5">
      <c r="B114" s="7" t="str">
        <f t="shared" si="15"/>
        <v/>
      </c>
      <c r="C114" s="50">
        <f>IF(D93="","-",+C113+1)</f>
        <v>2030</v>
      </c>
      <c r="D114" s="12">
        <f>IF(F113+SUM(E$99:E113)=D$92,F113,D$92-SUM(E$99:E113))</f>
        <v>0</v>
      </c>
      <c r="E114" s="56">
        <f t="shared" si="16"/>
        <v>0</v>
      </c>
      <c r="F114" s="55">
        <f t="shared" si="17"/>
        <v>0</v>
      </c>
      <c r="G114" s="55">
        <f t="shared" si="18"/>
        <v>0</v>
      </c>
      <c r="H114" s="113">
        <f t="shared" si="12"/>
        <v>0</v>
      </c>
      <c r="I114" s="122">
        <f t="shared" si="13"/>
        <v>0</v>
      </c>
      <c r="J114" s="54">
        <f t="shared" si="14"/>
        <v>0</v>
      </c>
      <c r="K114" s="54"/>
      <c r="L114" s="115"/>
      <c r="M114" s="54">
        <f t="shared" si="9"/>
        <v>0</v>
      </c>
      <c r="N114" s="115"/>
      <c r="O114" s="54">
        <f t="shared" si="10"/>
        <v>0</v>
      </c>
      <c r="P114" s="54">
        <f t="shared" si="11"/>
        <v>0</v>
      </c>
    </row>
    <row r="115" spans="2:16" ht="12.5">
      <c r="B115" s="7" t="str">
        <f t="shared" si="15"/>
        <v/>
      </c>
      <c r="C115" s="50">
        <f>IF(D93="","-",+C114+1)</f>
        <v>2031</v>
      </c>
      <c r="D115" s="12">
        <f>IF(F114+SUM(E$99:E114)=D$92,F114,D$92-SUM(E$99:E114))</f>
        <v>0</v>
      </c>
      <c r="E115" s="56">
        <f t="shared" si="16"/>
        <v>0</v>
      </c>
      <c r="F115" s="55">
        <f t="shared" si="17"/>
        <v>0</v>
      </c>
      <c r="G115" s="55">
        <f t="shared" si="18"/>
        <v>0</v>
      </c>
      <c r="H115" s="113">
        <f t="shared" si="12"/>
        <v>0</v>
      </c>
      <c r="I115" s="122">
        <f t="shared" si="13"/>
        <v>0</v>
      </c>
      <c r="J115" s="54">
        <f t="shared" si="14"/>
        <v>0</v>
      </c>
      <c r="K115" s="54"/>
      <c r="L115" s="115"/>
      <c r="M115" s="54">
        <f t="shared" si="9"/>
        <v>0</v>
      </c>
      <c r="N115" s="115"/>
      <c r="O115" s="54">
        <f t="shared" si="10"/>
        <v>0</v>
      </c>
      <c r="P115" s="54">
        <f t="shared" si="11"/>
        <v>0</v>
      </c>
    </row>
    <row r="116" spans="2:16" ht="12.5">
      <c r="B116" s="7" t="str">
        <f t="shared" si="15"/>
        <v/>
      </c>
      <c r="C116" s="50">
        <f>IF(D93="","-",+C115+1)</f>
        <v>2032</v>
      </c>
      <c r="D116" s="12">
        <f>IF(F115+SUM(E$99:E115)=D$92,F115,D$92-SUM(E$99:E115))</f>
        <v>0</v>
      </c>
      <c r="E116" s="56">
        <f t="shared" si="16"/>
        <v>0</v>
      </c>
      <c r="F116" s="55">
        <f t="shared" si="17"/>
        <v>0</v>
      </c>
      <c r="G116" s="55">
        <f t="shared" si="18"/>
        <v>0</v>
      </c>
      <c r="H116" s="113">
        <f t="shared" si="12"/>
        <v>0</v>
      </c>
      <c r="I116" s="122">
        <f t="shared" si="13"/>
        <v>0</v>
      </c>
      <c r="J116" s="54">
        <f t="shared" si="14"/>
        <v>0</v>
      </c>
      <c r="K116" s="54"/>
      <c r="L116" s="115"/>
      <c r="M116" s="54">
        <f t="shared" si="9"/>
        <v>0</v>
      </c>
      <c r="N116" s="115"/>
      <c r="O116" s="54">
        <f t="shared" si="10"/>
        <v>0</v>
      </c>
      <c r="P116" s="54">
        <f t="shared" si="11"/>
        <v>0</v>
      </c>
    </row>
    <row r="117" spans="2:16" ht="12.5">
      <c r="B117" s="7" t="str">
        <f t="shared" si="15"/>
        <v/>
      </c>
      <c r="C117" s="50">
        <f>IF(D93="","-",+C116+1)</f>
        <v>2033</v>
      </c>
      <c r="D117" s="12">
        <f>IF(F116+SUM(E$99:E116)=D$92,F116,D$92-SUM(E$99:E116))</f>
        <v>0</v>
      </c>
      <c r="E117" s="56">
        <f t="shared" si="16"/>
        <v>0</v>
      </c>
      <c r="F117" s="55">
        <f t="shared" si="17"/>
        <v>0</v>
      </c>
      <c r="G117" s="55">
        <f t="shared" si="18"/>
        <v>0</v>
      </c>
      <c r="H117" s="113">
        <f t="shared" si="12"/>
        <v>0</v>
      </c>
      <c r="I117" s="122">
        <f t="shared" si="13"/>
        <v>0</v>
      </c>
      <c r="J117" s="54">
        <f t="shared" si="14"/>
        <v>0</v>
      </c>
      <c r="K117" s="54"/>
      <c r="L117" s="115"/>
      <c r="M117" s="54">
        <f t="shared" si="9"/>
        <v>0</v>
      </c>
      <c r="N117" s="115"/>
      <c r="O117" s="54">
        <f t="shared" si="10"/>
        <v>0</v>
      </c>
      <c r="P117" s="54">
        <f t="shared" si="11"/>
        <v>0</v>
      </c>
    </row>
    <row r="118" spans="2:16" ht="12.5">
      <c r="B118" s="7" t="str">
        <f t="shared" si="15"/>
        <v/>
      </c>
      <c r="C118" s="50">
        <f>IF(D93="","-",+C117+1)</f>
        <v>2034</v>
      </c>
      <c r="D118" s="12">
        <f>IF(F117+SUM(E$99:E117)=D$92,F117,D$92-SUM(E$99:E117))</f>
        <v>0</v>
      </c>
      <c r="E118" s="56">
        <f t="shared" si="16"/>
        <v>0</v>
      </c>
      <c r="F118" s="55">
        <f t="shared" si="17"/>
        <v>0</v>
      </c>
      <c r="G118" s="55">
        <f t="shared" si="18"/>
        <v>0</v>
      </c>
      <c r="H118" s="113">
        <f t="shared" si="12"/>
        <v>0</v>
      </c>
      <c r="I118" s="122">
        <f t="shared" si="13"/>
        <v>0</v>
      </c>
      <c r="J118" s="54">
        <f t="shared" si="14"/>
        <v>0</v>
      </c>
      <c r="K118" s="54"/>
      <c r="L118" s="115"/>
      <c r="M118" s="54">
        <f t="shared" si="9"/>
        <v>0</v>
      </c>
      <c r="N118" s="115"/>
      <c r="O118" s="54">
        <f t="shared" si="10"/>
        <v>0</v>
      </c>
      <c r="P118" s="54">
        <f t="shared" si="11"/>
        <v>0</v>
      </c>
    </row>
    <row r="119" spans="2:16" ht="12.5">
      <c r="B119" s="7" t="str">
        <f t="shared" si="15"/>
        <v/>
      </c>
      <c r="C119" s="50">
        <f>IF(D93="","-",+C118+1)</f>
        <v>2035</v>
      </c>
      <c r="D119" s="12">
        <f>IF(F118+SUM(E$99:E118)=D$92,F118,D$92-SUM(E$99:E118))</f>
        <v>0</v>
      </c>
      <c r="E119" s="56">
        <f t="shared" si="16"/>
        <v>0</v>
      </c>
      <c r="F119" s="55">
        <f t="shared" si="17"/>
        <v>0</v>
      </c>
      <c r="G119" s="55">
        <f t="shared" si="18"/>
        <v>0</v>
      </c>
      <c r="H119" s="113">
        <f t="shared" si="12"/>
        <v>0</v>
      </c>
      <c r="I119" s="122">
        <f t="shared" si="13"/>
        <v>0</v>
      </c>
      <c r="J119" s="54">
        <f t="shared" si="14"/>
        <v>0</v>
      </c>
      <c r="K119" s="54"/>
      <c r="L119" s="115"/>
      <c r="M119" s="54">
        <f t="shared" si="9"/>
        <v>0</v>
      </c>
      <c r="N119" s="115"/>
      <c r="O119" s="54">
        <f t="shared" si="10"/>
        <v>0</v>
      </c>
      <c r="P119" s="54">
        <f t="shared" si="11"/>
        <v>0</v>
      </c>
    </row>
    <row r="120" spans="2:16" ht="12.5">
      <c r="B120" s="7" t="str">
        <f t="shared" si="15"/>
        <v/>
      </c>
      <c r="C120" s="50">
        <f>IF(D93="","-",+C119+1)</f>
        <v>2036</v>
      </c>
      <c r="D120" s="12">
        <f>IF(F119+SUM(E$99:E119)=D$92,F119,D$92-SUM(E$99:E119))</f>
        <v>0</v>
      </c>
      <c r="E120" s="56">
        <f t="shared" si="16"/>
        <v>0</v>
      </c>
      <c r="F120" s="55">
        <f t="shared" si="17"/>
        <v>0</v>
      </c>
      <c r="G120" s="55">
        <f t="shared" si="18"/>
        <v>0</v>
      </c>
      <c r="H120" s="113">
        <f t="shared" si="12"/>
        <v>0</v>
      </c>
      <c r="I120" s="122">
        <f t="shared" si="13"/>
        <v>0</v>
      </c>
      <c r="J120" s="54">
        <f t="shared" si="14"/>
        <v>0</v>
      </c>
      <c r="K120" s="54"/>
      <c r="L120" s="115"/>
      <c r="M120" s="54">
        <f t="shared" si="9"/>
        <v>0</v>
      </c>
      <c r="N120" s="115"/>
      <c r="O120" s="54">
        <f t="shared" si="10"/>
        <v>0</v>
      </c>
      <c r="P120" s="54">
        <f t="shared" si="11"/>
        <v>0</v>
      </c>
    </row>
    <row r="121" spans="2:16" ht="12.5">
      <c r="B121" s="7" t="str">
        <f t="shared" si="15"/>
        <v/>
      </c>
      <c r="C121" s="50">
        <f>IF(D93="","-",+C120+1)</f>
        <v>2037</v>
      </c>
      <c r="D121" s="12">
        <f>IF(F120+SUM(E$99:E120)=D$92,F120,D$92-SUM(E$99:E120))</f>
        <v>0</v>
      </c>
      <c r="E121" s="56">
        <f t="shared" si="16"/>
        <v>0</v>
      </c>
      <c r="F121" s="55">
        <f t="shared" si="17"/>
        <v>0</v>
      </c>
      <c r="G121" s="55">
        <f t="shared" si="18"/>
        <v>0</v>
      </c>
      <c r="H121" s="113">
        <f t="shared" si="12"/>
        <v>0</v>
      </c>
      <c r="I121" s="122">
        <f t="shared" si="13"/>
        <v>0</v>
      </c>
      <c r="J121" s="54">
        <f t="shared" si="14"/>
        <v>0</v>
      </c>
      <c r="K121" s="54"/>
      <c r="L121" s="115"/>
      <c r="M121" s="54">
        <f t="shared" si="9"/>
        <v>0</v>
      </c>
      <c r="N121" s="115"/>
      <c r="O121" s="54">
        <f t="shared" si="10"/>
        <v>0</v>
      </c>
      <c r="P121" s="54">
        <f t="shared" si="11"/>
        <v>0</v>
      </c>
    </row>
    <row r="122" spans="2:16" ht="12.5">
      <c r="B122" s="7" t="str">
        <f t="shared" si="15"/>
        <v/>
      </c>
      <c r="C122" s="50">
        <f>IF(D93="","-",+C121+1)</f>
        <v>2038</v>
      </c>
      <c r="D122" s="12">
        <f>IF(F121+SUM(E$99:E121)=D$92,F121,D$92-SUM(E$99:E121))</f>
        <v>0</v>
      </c>
      <c r="E122" s="56">
        <f t="shared" si="16"/>
        <v>0</v>
      </c>
      <c r="F122" s="55">
        <f t="shared" si="17"/>
        <v>0</v>
      </c>
      <c r="G122" s="55">
        <f t="shared" si="18"/>
        <v>0</v>
      </c>
      <c r="H122" s="113">
        <f t="shared" si="12"/>
        <v>0</v>
      </c>
      <c r="I122" s="122">
        <f t="shared" si="13"/>
        <v>0</v>
      </c>
      <c r="J122" s="54">
        <f t="shared" si="14"/>
        <v>0</v>
      </c>
      <c r="K122" s="54"/>
      <c r="L122" s="115"/>
      <c r="M122" s="54">
        <f t="shared" si="9"/>
        <v>0</v>
      </c>
      <c r="N122" s="115"/>
      <c r="O122" s="54">
        <f t="shared" si="10"/>
        <v>0</v>
      </c>
      <c r="P122" s="54">
        <f t="shared" si="11"/>
        <v>0</v>
      </c>
    </row>
    <row r="123" spans="2:16" ht="12.5">
      <c r="B123" s="7" t="str">
        <f t="shared" si="15"/>
        <v/>
      </c>
      <c r="C123" s="50">
        <f>IF(D93="","-",+C122+1)</f>
        <v>2039</v>
      </c>
      <c r="D123" s="12">
        <f>IF(F122+SUM(E$99:E122)=D$92,F122,D$92-SUM(E$99:E122))</f>
        <v>0</v>
      </c>
      <c r="E123" s="56">
        <f t="shared" si="16"/>
        <v>0</v>
      </c>
      <c r="F123" s="55">
        <f t="shared" si="17"/>
        <v>0</v>
      </c>
      <c r="G123" s="55">
        <f t="shared" si="18"/>
        <v>0</v>
      </c>
      <c r="H123" s="113">
        <f t="shared" si="12"/>
        <v>0</v>
      </c>
      <c r="I123" s="122">
        <f t="shared" si="13"/>
        <v>0</v>
      </c>
      <c r="J123" s="54">
        <f t="shared" si="14"/>
        <v>0</v>
      </c>
      <c r="K123" s="54"/>
      <c r="L123" s="115"/>
      <c r="M123" s="54">
        <f t="shared" si="9"/>
        <v>0</v>
      </c>
      <c r="N123" s="115"/>
      <c r="O123" s="54">
        <f t="shared" si="10"/>
        <v>0</v>
      </c>
      <c r="P123" s="54">
        <f t="shared" si="11"/>
        <v>0</v>
      </c>
    </row>
    <row r="124" spans="2:16" ht="12.5">
      <c r="B124" s="7" t="str">
        <f t="shared" si="15"/>
        <v/>
      </c>
      <c r="C124" s="50">
        <f>IF(D93="","-",+C123+1)</f>
        <v>2040</v>
      </c>
      <c r="D124" s="12">
        <f>IF(F123+SUM(E$99:E123)=D$92,F123,D$92-SUM(E$99:E123))</f>
        <v>0</v>
      </c>
      <c r="E124" s="56">
        <f t="shared" si="16"/>
        <v>0</v>
      </c>
      <c r="F124" s="55">
        <f t="shared" si="17"/>
        <v>0</v>
      </c>
      <c r="G124" s="55">
        <f t="shared" si="18"/>
        <v>0</v>
      </c>
      <c r="H124" s="113">
        <f t="shared" si="12"/>
        <v>0</v>
      </c>
      <c r="I124" s="122">
        <f t="shared" si="13"/>
        <v>0</v>
      </c>
      <c r="J124" s="54">
        <f t="shared" si="14"/>
        <v>0</v>
      </c>
      <c r="K124" s="54"/>
      <c r="L124" s="115"/>
      <c r="M124" s="54">
        <f t="shared" si="9"/>
        <v>0</v>
      </c>
      <c r="N124" s="115"/>
      <c r="O124" s="54">
        <f t="shared" si="10"/>
        <v>0</v>
      </c>
      <c r="P124" s="54">
        <f t="shared" si="11"/>
        <v>0</v>
      </c>
    </row>
    <row r="125" spans="2:16" ht="12.5">
      <c r="B125" s="7" t="str">
        <f t="shared" si="15"/>
        <v/>
      </c>
      <c r="C125" s="50">
        <f>IF(D93="","-",+C124+1)</f>
        <v>2041</v>
      </c>
      <c r="D125" s="12">
        <f>IF(F124+SUM(E$99:E124)=D$92,F124,D$92-SUM(E$99:E124))</f>
        <v>0</v>
      </c>
      <c r="E125" s="56">
        <f t="shared" si="16"/>
        <v>0</v>
      </c>
      <c r="F125" s="55">
        <f t="shared" si="17"/>
        <v>0</v>
      </c>
      <c r="G125" s="55">
        <f t="shared" si="18"/>
        <v>0</v>
      </c>
      <c r="H125" s="113">
        <f t="shared" si="12"/>
        <v>0</v>
      </c>
      <c r="I125" s="122">
        <f t="shared" si="13"/>
        <v>0</v>
      </c>
      <c r="J125" s="54">
        <f t="shared" si="14"/>
        <v>0</v>
      </c>
      <c r="K125" s="54"/>
      <c r="L125" s="115"/>
      <c r="M125" s="54">
        <f t="shared" si="9"/>
        <v>0</v>
      </c>
      <c r="N125" s="115"/>
      <c r="O125" s="54">
        <f t="shared" si="10"/>
        <v>0</v>
      </c>
      <c r="P125" s="54">
        <f t="shared" si="11"/>
        <v>0</v>
      </c>
    </row>
    <row r="126" spans="2:16" ht="12.5">
      <c r="B126" s="7" t="str">
        <f t="shared" si="15"/>
        <v/>
      </c>
      <c r="C126" s="50">
        <f>IF(D93="","-",+C125+1)</f>
        <v>2042</v>
      </c>
      <c r="D126" s="12">
        <f>IF(F125+SUM(E$99:E125)=D$92,F125,D$92-SUM(E$99:E125))</f>
        <v>0</v>
      </c>
      <c r="E126" s="56">
        <f t="shared" si="16"/>
        <v>0</v>
      </c>
      <c r="F126" s="55">
        <f t="shared" si="17"/>
        <v>0</v>
      </c>
      <c r="G126" s="55">
        <f t="shared" si="18"/>
        <v>0</v>
      </c>
      <c r="H126" s="113">
        <f t="shared" si="12"/>
        <v>0</v>
      </c>
      <c r="I126" s="122">
        <f t="shared" si="13"/>
        <v>0</v>
      </c>
      <c r="J126" s="54">
        <f t="shared" si="14"/>
        <v>0</v>
      </c>
      <c r="K126" s="54"/>
      <c r="L126" s="115"/>
      <c r="M126" s="54">
        <f t="shared" si="9"/>
        <v>0</v>
      </c>
      <c r="N126" s="115"/>
      <c r="O126" s="54">
        <f t="shared" si="10"/>
        <v>0</v>
      </c>
      <c r="P126" s="54">
        <f t="shared" si="11"/>
        <v>0</v>
      </c>
    </row>
    <row r="127" spans="2:16" ht="12.5">
      <c r="B127" s="7" t="str">
        <f t="shared" si="15"/>
        <v/>
      </c>
      <c r="C127" s="50">
        <f>IF(D93="","-",+C126+1)</f>
        <v>2043</v>
      </c>
      <c r="D127" s="12">
        <f>IF(F126+SUM(E$99:E126)=D$92,F126,D$92-SUM(E$99:E126))</f>
        <v>0</v>
      </c>
      <c r="E127" s="56">
        <f t="shared" si="16"/>
        <v>0</v>
      </c>
      <c r="F127" s="55">
        <f t="shared" si="17"/>
        <v>0</v>
      </c>
      <c r="G127" s="55">
        <f t="shared" si="18"/>
        <v>0</v>
      </c>
      <c r="H127" s="113">
        <f t="shared" si="12"/>
        <v>0</v>
      </c>
      <c r="I127" s="122">
        <f t="shared" si="13"/>
        <v>0</v>
      </c>
      <c r="J127" s="54">
        <f t="shared" si="14"/>
        <v>0</v>
      </c>
      <c r="K127" s="54"/>
      <c r="L127" s="115"/>
      <c r="M127" s="54">
        <f t="shared" si="9"/>
        <v>0</v>
      </c>
      <c r="N127" s="115"/>
      <c r="O127" s="54">
        <f t="shared" si="10"/>
        <v>0</v>
      </c>
      <c r="P127" s="54">
        <f t="shared" si="11"/>
        <v>0</v>
      </c>
    </row>
    <row r="128" spans="2:16" ht="12.5">
      <c r="B128" s="7" t="str">
        <f t="shared" si="15"/>
        <v/>
      </c>
      <c r="C128" s="50">
        <f>IF(D93="","-",+C127+1)</f>
        <v>2044</v>
      </c>
      <c r="D128" s="12">
        <f>IF(F127+SUM(E$99:E127)=D$92,F127,D$92-SUM(E$99:E127))</f>
        <v>0</v>
      </c>
      <c r="E128" s="56">
        <f t="shared" si="16"/>
        <v>0</v>
      </c>
      <c r="F128" s="55">
        <f t="shared" si="17"/>
        <v>0</v>
      </c>
      <c r="G128" s="55">
        <f t="shared" si="18"/>
        <v>0</v>
      </c>
      <c r="H128" s="113">
        <f t="shared" si="12"/>
        <v>0</v>
      </c>
      <c r="I128" s="122">
        <f t="shared" si="13"/>
        <v>0</v>
      </c>
      <c r="J128" s="54">
        <f t="shared" si="14"/>
        <v>0</v>
      </c>
      <c r="K128" s="54"/>
      <c r="L128" s="115"/>
      <c r="M128" s="54">
        <f t="shared" si="9"/>
        <v>0</v>
      </c>
      <c r="N128" s="115"/>
      <c r="O128" s="54">
        <f t="shared" si="10"/>
        <v>0</v>
      </c>
      <c r="P128" s="54">
        <f t="shared" si="11"/>
        <v>0</v>
      </c>
    </row>
    <row r="129" spans="2:16" ht="12.5">
      <c r="B129" s="7" t="str">
        <f t="shared" si="15"/>
        <v/>
      </c>
      <c r="C129" s="50">
        <f>IF(D93="","-",+C128+1)</f>
        <v>2045</v>
      </c>
      <c r="D129" s="12">
        <f>IF(F128+SUM(E$99:E128)=D$92,F128,D$92-SUM(E$99:E128))</f>
        <v>0</v>
      </c>
      <c r="E129" s="56">
        <f t="shared" si="16"/>
        <v>0</v>
      </c>
      <c r="F129" s="55">
        <f t="shared" si="17"/>
        <v>0</v>
      </c>
      <c r="G129" s="55">
        <f t="shared" si="18"/>
        <v>0</v>
      </c>
      <c r="H129" s="113">
        <f t="shared" si="12"/>
        <v>0</v>
      </c>
      <c r="I129" s="122">
        <f t="shared" si="13"/>
        <v>0</v>
      </c>
      <c r="J129" s="54">
        <f t="shared" si="14"/>
        <v>0</v>
      </c>
      <c r="K129" s="54"/>
      <c r="L129" s="115"/>
      <c r="M129" s="54">
        <f t="shared" si="9"/>
        <v>0</v>
      </c>
      <c r="N129" s="115"/>
      <c r="O129" s="54">
        <f t="shared" si="10"/>
        <v>0</v>
      </c>
      <c r="P129" s="54">
        <f t="shared" si="11"/>
        <v>0</v>
      </c>
    </row>
    <row r="130" spans="2:16" ht="12.5">
      <c r="B130" s="7" t="str">
        <f t="shared" si="15"/>
        <v/>
      </c>
      <c r="C130" s="50">
        <f>IF(D93="","-",+C129+1)</f>
        <v>2046</v>
      </c>
      <c r="D130" s="12">
        <f>IF(F129+SUM(E$99:E129)=D$92,F129,D$92-SUM(E$99:E129))</f>
        <v>0</v>
      </c>
      <c r="E130" s="56">
        <f t="shared" si="16"/>
        <v>0</v>
      </c>
      <c r="F130" s="55">
        <f t="shared" si="17"/>
        <v>0</v>
      </c>
      <c r="G130" s="55">
        <f t="shared" si="18"/>
        <v>0</v>
      </c>
      <c r="H130" s="113">
        <f t="shared" si="12"/>
        <v>0</v>
      </c>
      <c r="I130" s="122">
        <f t="shared" si="13"/>
        <v>0</v>
      </c>
      <c r="J130" s="54">
        <f t="shared" si="14"/>
        <v>0</v>
      </c>
      <c r="K130" s="54"/>
      <c r="L130" s="115"/>
      <c r="M130" s="54">
        <f t="shared" si="9"/>
        <v>0</v>
      </c>
      <c r="N130" s="115"/>
      <c r="O130" s="54">
        <f t="shared" si="10"/>
        <v>0</v>
      </c>
      <c r="P130" s="54">
        <f t="shared" si="11"/>
        <v>0</v>
      </c>
    </row>
    <row r="131" spans="2:16" ht="12.5">
      <c r="B131" s="7" t="str">
        <f t="shared" si="15"/>
        <v/>
      </c>
      <c r="C131" s="50">
        <f>IF(D93="","-",+C130+1)</f>
        <v>2047</v>
      </c>
      <c r="D131" s="12">
        <f>IF(F130+SUM(E$99:E130)=D$92,F130,D$92-SUM(E$99:E130))</f>
        <v>0</v>
      </c>
      <c r="E131" s="56">
        <f t="shared" si="16"/>
        <v>0</v>
      </c>
      <c r="F131" s="55">
        <f t="shared" si="17"/>
        <v>0</v>
      </c>
      <c r="G131" s="55">
        <f t="shared" si="18"/>
        <v>0</v>
      </c>
      <c r="H131" s="113">
        <f t="shared" si="12"/>
        <v>0</v>
      </c>
      <c r="I131" s="122">
        <f t="shared" si="13"/>
        <v>0</v>
      </c>
      <c r="J131" s="54">
        <f t="shared" ref="J131:J154" si="19">+I540-H540</f>
        <v>0</v>
      </c>
      <c r="K131" s="54"/>
      <c r="L131" s="115"/>
      <c r="M131" s="54">
        <f t="shared" ref="M131:M154" si="20">IF(L540&lt;&gt;0,+H540-L540,0)</f>
        <v>0</v>
      </c>
      <c r="N131" s="115"/>
      <c r="O131" s="54">
        <f t="shared" ref="O131:O154" si="21">IF(N540&lt;&gt;0,+I540-N540,0)</f>
        <v>0</v>
      </c>
      <c r="P131" s="54">
        <f t="shared" ref="P131:P154" si="22">+O540-M540</f>
        <v>0</v>
      </c>
    </row>
    <row r="132" spans="2:16" ht="12.5">
      <c r="B132" s="7" t="str">
        <f t="shared" si="15"/>
        <v/>
      </c>
      <c r="C132" s="50">
        <f>IF(D93="","-",+C131+1)</f>
        <v>2048</v>
      </c>
      <c r="D132" s="12">
        <f>IF(F131+SUM(E$99:E131)=D$92,F131,D$92-SUM(E$99:E131))</f>
        <v>0</v>
      </c>
      <c r="E132" s="56">
        <f t="shared" si="16"/>
        <v>0</v>
      </c>
      <c r="F132" s="55">
        <f t="shared" si="17"/>
        <v>0</v>
      </c>
      <c r="G132" s="55">
        <f t="shared" si="18"/>
        <v>0</v>
      </c>
      <c r="H132" s="113">
        <f t="shared" si="12"/>
        <v>0</v>
      </c>
      <c r="I132" s="122">
        <f t="shared" si="13"/>
        <v>0</v>
      </c>
      <c r="J132" s="54">
        <f t="shared" si="19"/>
        <v>0</v>
      </c>
      <c r="K132" s="54"/>
      <c r="L132" s="115"/>
      <c r="M132" s="54">
        <f t="shared" si="20"/>
        <v>0</v>
      </c>
      <c r="N132" s="115"/>
      <c r="O132" s="54">
        <f t="shared" si="21"/>
        <v>0</v>
      </c>
      <c r="P132" s="54">
        <f t="shared" si="22"/>
        <v>0</v>
      </c>
    </row>
    <row r="133" spans="2:16" ht="12.5">
      <c r="B133" s="7" t="str">
        <f t="shared" si="15"/>
        <v/>
      </c>
      <c r="C133" s="50">
        <f>IF(D93="","-",+C132+1)</f>
        <v>2049</v>
      </c>
      <c r="D133" s="12">
        <f>IF(F132+SUM(E$99:E132)=D$92,F132,D$92-SUM(E$99:E132))</f>
        <v>0</v>
      </c>
      <c r="E133" s="56">
        <f t="shared" si="16"/>
        <v>0</v>
      </c>
      <c r="F133" s="55">
        <f t="shared" si="17"/>
        <v>0</v>
      </c>
      <c r="G133" s="55">
        <f t="shared" si="18"/>
        <v>0</v>
      </c>
      <c r="H133" s="113">
        <f t="shared" si="12"/>
        <v>0</v>
      </c>
      <c r="I133" s="122">
        <f t="shared" si="13"/>
        <v>0</v>
      </c>
      <c r="J133" s="54">
        <f t="shared" si="19"/>
        <v>0</v>
      </c>
      <c r="K133" s="54"/>
      <c r="L133" s="115"/>
      <c r="M133" s="54">
        <f t="shared" si="20"/>
        <v>0</v>
      </c>
      <c r="N133" s="115"/>
      <c r="O133" s="54">
        <f t="shared" si="21"/>
        <v>0</v>
      </c>
      <c r="P133" s="54">
        <f t="shared" si="22"/>
        <v>0</v>
      </c>
    </row>
    <row r="134" spans="2:16" ht="12.5">
      <c r="B134" s="7" t="str">
        <f t="shared" si="15"/>
        <v/>
      </c>
      <c r="C134" s="50">
        <f>IF(D93="","-",+C133+1)</f>
        <v>2050</v>
      </c>
      <c r="D134" s="12">
        <f>IF(F133+SUM(E$99:E133)=D$92,F133,D$92-SUM(E$99:E133))</f>
        <v>0</v>
      </c>
      <c r="E134" s="56">
        <f t="shared" si="16"/>
        <v>0</v>
      </c>
      <c r="F134" s="55">
        <f t="shared" si="17"/>
        <v>0</v>
      </c>
      <c r="G134" s="55">
        <f t="shared" si="18"/>
        <v>0</v>
      </c>
      <c r="H134" s="113">
        <f t="shared" si="12"/>
        <v>0</v>
      </c>
      <c r="I134" s="122">
        <f t="shared" si="13"/>
        <v>0</v>
      </c>
      <c r="J134" s="54">
        <f t="shared" si="19"/>
        <v>0</v>
      </c>
      <c r="K134" s="54"/>
      <c r="L134" s="115"/>
      <c r="M134" s="54">
        <f t="shared" si="20"/>
        <v>0</v>
      </c>
      <c r="N134" s="115"/>
      <c r="O134" s="54">
        <f t="shared" si="21"/>
        <v>0</v>
      </c>
      <c r="P134" s="54">
        <f t="shared" si="22"/>
        <v>0</v>
      </c>
    </row>
    <row r="135" spans="2:16" ht="12.5">
      <c r="B135" s="7" t="str">
        <f t="shared" si="15"/>
        <v/>
      </c>
      <c r="C135" s="50">
        <f>IF(D93="","-",+C134+1)</f>
        <v>2051</v>
      </c>
      <c r="D135" s="12">
        <f>IF(F134+SUM(E$99:E134)=D$92,F134,D$92-SUM(E$99:E134))</f>
        <v>0</v>
      </c>
      <c r="E135" s="56">
        <f t="shared" si="16"/>
        <v>0</v>
      </c>
      <c r="F135" s="55">
        <f t="shared" si="17"/>
        <v>0</v>
      </c>
      <c r="G135" s="55">
        <f t="shared" si="18"/>
        <v>0</v>
      </c>
      <c r="H135" s="113">
        <f t="shared" si="12"/>
        <v>0</v>
      </c>
      <c r="I135" s="122">
        <f t="shared" si="13"/>
        <v>0</v>
      </c>
      <c r="J135" s="54">
        <f t="shared" si="19"/>
        <v>0</v>
      </c>
      <c r="K135" s="54"/>
      <c r="L135" s="115"/>
      <c r="M135" s="54">
        <f t="shared" si="20"/>
        <v>0</v>
      </c>
      <c r="N135" s="115"/>
      <c r="O135" s="54">
        <f t="shared" si="21"/>
        <v>0</v>
      </c>
      <c r="P135" s="54">
        <f t="shared" si="22"/>
        <v>0</v>
      </c>
    </row>
    <row r="136" spans="2:16" ht="12.5">
      <c r="B136" s="7" t="str">
        <f t="shared" si="15"/>
        <v/>
      </c>
      <c r="C136" s="50">
        <f>IF(D93="","-",+C135+1)</f>
        <v>2052</v>
      </c>
      <c r="D136" s="12">
        <f>IF(F135+SUM(E$99:E135)=D$92,F135,D$92-SUM(E$99:E135))</f>
        <v>0</v>
      </c>
      <c r="E136" s="56">
        <f t="shared" si="16"/>
        <v>0</v>
      </c>
      <c r="F136" s="55">
        <f t="shared" si="17"/>
        <v>0</v>
      </c>
      <c r="G136" s="55">
        <f t="shared" si="18"/>
        <v>0</v>
      </c>
      <c r="H136" s="113">
        <f t="shared" si="12"/>
        <v>0</v>
      </c>
      <c r="I136" s="122">
        <f t="shared" si="13"/>
        <v>0</v>
      </c>
      <c r="J136" s="54">
        <f t="shared" si="19"/>
        <v>0</v>
      </c>
      <c r="K136" s="54"/>
      <c r="L136" s="115"/>
      <c r="M136" s="54">
        <f t="shared" si="20"/>
        <v>0</v>
      </c>
      <c r="N136" s="115"/>
      <c r="O136" s="54">
        <f t="shared" si="21"/>
        <v>0</v>
      </c>
      <c r="P136" s="54">
        <f t="shared" si="22"/>
        <v>0</v>
      </c>
    </row>
    <row r="137" spans="2:16" ht="12.5">
      <c r="B137" s="7" t="str">
        <f t="shared" si="15"/>
        <v/>
      </c>
      <c r="C137" s="50">
        <f>IF(D93="","-",+C136+1)</f>
        <v>2053</v>
      </c>
      <c r="D137" s="12">
        <f>IF(F136+SUM(E$99:E136)=D$92,F136,D$92-SUM(E$99:E136))</f>
        <v>0</v>
      </c>
      <c r="E137" s="56">
        <f t="shared" si="16"/>
        <v>0</v>
      </c>
      <c r="F137" s="55">
        <f t="shared" si="17"/>
        <v>0</v>
      </c>
      <c r="G137" s="55">
        <f t="shared" si="18"/>
        <v>0</v>
      </c>
      <c r="H137" s="113">
        <f t="shared" si="12"/>
        <v>0</v>
      </c>
      <c r="I137" s="122">
        <f t="shared" si="13"/>
        <v>0</v>
      </c>
      <c r="J137" s="54">
        <f t="shared" si="19"/>
        <v>0</v>
      </c>
      <c r="K137" s="54"/>
      <c r="L137" s="115"/>
      <c r="M137" s="54">
        <f t="shared" si="20"/>
        <v>0</v>
      </c>
      <c r="N137" s="115"/>
      <c r="O137" s="54">
        <f t="shared" si="21"/>
        <v>0</v>
      </c>
      <c r="P137" s="54">
        <f t="shared" si="22"/>
        <v>0</v>
      </c>
    </row>
    <row r="138" spans="2:16" ht="12.5">
      <c r="B138" s="7" t="str">
        <f t="shared" si="15"/>
        <v/>
      </c>
      <c r="C138" s="50">
        <f>IF(D93="","-",+C137+1)</f>
        <v>2054</v>
      </c>
      <c r="D138" s="12">
        <f>IF(F137+SUM(E$99:E137)=D$92,F137,D$92-SUM(E$99:E137))</f>
        <v>0</v>
      </c>
      <c r="E138" s="56">
        <f t="shared" si="16"/>
        <v>0</v>
      </c>
      <c r="F138" s="55">
        <f t="shared" si="17"/>
        <v>0</v>
      </c>
      <c r="G138" s="55">
        <f t="shared" si="18"/>
        <v>0</v>
      </c>
      <c r="H138" s="113">
        <f t="shared" si="12"/>
        <v>0</v>
      </c>
      <c r="I138" s="122">
        <f t="shared" si="13"/>
        <v>0</v>
      </c>
      <c r="J138" s="54">
        <f t="shared" si="19"/>
        <v>0</v>
      </c>
      <c r="K138" s="54"/>
      <c r="L138" s="115"/>
      <c r="M138" s="54">
        <f t="shared" si="20"/>
        <v>0</v>
      </c>
      <c r="N138" s="115"/>
      <c r="O138" s="54">
        <f t="shared" si="21"/>
        <v>0</v>
      </c>
      <c r="P138" s="54">
        <f t="shared" si="22"/>
        <v>0</v>
      </c>
    </row>
    <row r="139" spans="2:16" ht="12.5">
      <c r="B139" s="7" t="str">
        <f t="shared" si="15"/>
        <v/>
      </c>
      <c r="C139" s="50">
        <f>IF(D93="","-",+C138+1)</f>
        <v>2055</v>
      </c>
      <c r="D139" s="12">
        <f>IF(F138+SUM(E$99:E138)=D$92,F138,D$92-SUM(E$99:E138))</f>
        <v>0</v>
      </c>
      <c r="E139" s="56">
        <f t="shared" si="16"/>
        <v>0</v>
      </c>
      <c r="F139" s="55">
        <f t="shared" si="17"/>
        <v>0</v>
      </c>
      <c r="G139" s="55">
        <f t="shared" si="18"/>
        <v>0</v>
      </c>
      <c r="H139" s="113">
        <f t="shared" si="12"/>
        <v>0</v>
      </c>
      <c r="I139" s="122">
        <f t="shared" si="13"/>
        <v>0</v>
      </c>
      <c r="J139" s="54">
        <f t="shared" si="19"/>
        <v>0</v>
      </c>
      <c r="K139" s="54"/>
      <c r="L139" s="115"/>
      <c r="M139" s="54">
        <f t="shared" si="20"/>
        <v>0</v>
      </c>
      <c r="N139" s="115"/>
      <c r="O139" s="54">
        <f t="shared" si="21"/>
        <v>0</v>
      </c>
      <c r="P139" s="54">
        <f t="shared" si="22"/>
        <v>0</v>
      </c>
    </row>
    <row r="140" spans="2:16" ht="12.5">
      <c r="B140" s="7" t="str">
        <f t="shared" si="15"/>
        <v/>
      </c>
      <c r="C140" s="50">
        <f>IF(D93="","-",+C139+1)</f>
        <v>2056</v>
      </c>
      <c r="D140" s="12">
        <f>IF(F139+SUM(E$99:E139)=D$92,F139,D$92-SUM(E$99:E139))</f>
        <v>0</v>
      </c>
      <c r="E140" s="56">
        <f t="shared" si="16"/>
        <v>0</v>
      </c>
      <c r="F140" s="55">
        <f t="shared" si="17"/>
        <v>0</v>
      </c>
      <c r="G140" s="55">
        <f t="shared" si="18"/>
        <v>0</v>
      </c>
      <c r="H140" s="113">
        <f t="shared" si="12"/>
        <v>0</v>
      </c>
      <c r="I140" s="122">
        <f t="shared" si="13"/>
        <v>0</v>
      </c>
      <c r="J140" s="54">
        <f t="shared" si="19"/>
        <v>0</v>
      </c>
      <c r="K140" s="54"/>
      <c r="L140" s="115"/>
      <c r="M140" s="54">
        <f t="shared" si="20"/>
        <v>0</v>
      </c>
      <c r="N140" s="115"/>
      <c r="O140" s="54">
        <f t="shared" si="21"/>
        <v>0</v>
      </c>
      <c r="P140" s="54">
        <f t="shared" si="22"/>
        <v>0</v>
      </c>
    </row>
    <row r="141" spans="2:16" ht="12.5">
      <c r="B141" s="7" t="str">
        <f t="shared" si="15"/>
        <v/>
      </c>
      <c r="C141" s="50">
        <f>IF(D93="","-",+C140+1)</f>
        <v>2057</v>
      </c>
      <c r="D141" s="12">
        <f>IF(F140+SUM(E$99:E140)=D$92,F140,D$92-SUM(E$99:E140))</f>
        <v>0</v>
      </c>
      <c r="E141" s="56">
        <f t="shared" si="16"/>
        <v>0</v>
      </c>
      <c r="F141" s="55">
        <f t="shared" si="17"/>
        <v>0</v>
      </c>
      <c r="G141" s="55">
        <f t="shared" si="18"/>
        <v>0</v>
      </c>
      <c r="H141" s="113">
        <f t="shared" si="12"/>
        <v>0</v>
      </c>
      <c r="I141" s="122">
        <f t="shared" si="13"/>
        <v>0</v>
      </c>
      <c r="J141" s="54">
        <f t="shared" si="19"/>
        <v>0</v>
      </c>
      <c r="K141" s="54"/>
      <c r="L141" s="115"/>
      <c r="M141" s="54">
        <f t="shared" si="20"/>
        <v>0</v>
      </c>
      <c r="N141" s="115"/>
      <c r="O141" s="54">
        <f t="shared" si="21"/>
        <v>0</v>
      </c>
      <c r="P141" s="54">
        <f t="shared" si="22"/>
        <v>0</v>
      </c>
    </row>
    <row r="142" spans="2:16" ht="12.5">
      <c r="B142" s="7" t="str">
        <f t="shared" si="15"/>
        <v/>
      </c>
      <c r="C142" s="50">
        <f>IF(D93="","-",+C141+1)</f>
        <v>2058</v>
      </c>
      <c r="D142" s="12">
        <f>IF(F141+SUM(E$99:E141)=D$92,F141,D$92-SUM(E$99:E141))</f>
        <v>0</v>
      </c>
      <c r="E142" s="56">
        <f t="shared" si="16"/>
        <v>0</v>
      </c>
      <c r="F142" s="55">
        <f t="shared" si="17"/>
        <v>0</v>
      </c>
      <c r="G142" s="55">
        <f t="shared" si="18"/>
        <v>0</v>
      </c>
      <c r="H142" s="113">
        <f t="shared" si="12"/>
        <v>0</v>
      </c>
      <c r="I142" s="122">
        <f t="shared" si="13"/>
        <v>0</v>
      </c>
      <c r="J142" s="54">
        <f t="shared" si="19"/>
        <v>0</v>
      </c>
      <c r="K142" s="54"/>
      <c r="L142" s="115"/>
      <c r="M142" s="54">
        <f t="shared" si="20"/>
        <v>0</v>
      </c>
      <c r="N142" s="115"/>
      <c r="O142" s="54">
        <f t="shared" si="21"/>
        <v>0</v>
      </c>
      <c r="P142" s="54">
        <f t="shared" si="22"/>
        <v>0</v>
      </c>
    </row>
    <row r="143" spans="2:16" ht="12.5">
      <c r="B143" s="7" t="str">
        <f t="shared" si="15"/>
        <v/>
      </c>
      <c r="C143" s="50">
        <f>IF(D93="","-",+C142+1)</f>
        <v>2059</v>
      </c>
      <c r="D143" s="12">
        <f>IF(F142+SUM(E$99:E142)=D$92,F142,D$92-SUM(E$99:E142))</f>
        <v>0</v>
      </c>
      <c r="E143" s="56">
        <f t="shared" si="16"/>
        <v>0</v>
      </c>
      <c r="F143" s="55">
        <f t="shared" si="17"/>
        <v>0</v>
      </c>
      <c r="G143" s="55">
        <f t="shared" si="18"/>
        <v>0</v>
      </c>
      <c r="H143" s="113">
        <f t="shared" si="12"/>
        <v>0</v>
      </c>
      <c r="I143" s="122">
        <f t="shared" si="13"/>
        <v>0</v>
      </c>
      <c r="J143" s="54">
        <f t="shared" si="19"/>
        <v>0</v>
      </c>
      <c r="K143" s="54"/>
      <c r="L143" s="115"/>
      <c r="M143" s="54">
        <f t="shared" si="20"/>
        <v>0</v>
      </c>
      <c r="N143" s="115"/>
      <c r="O143" s="54">
        <f t="shared" si="21"/>
        <v>0</v>
      </c>
      <c r="P143" s="54">
        <f t="shared" si="22"/>
        <v>0</v>
      </c>
    </row>
    <row r="144" spans="2:16" ht="12.5">
      <c r="B144" s="7" t="str">
        <f t="shared" si="15"/>
        <v/>
      </c>
      <c r="C144" s="50">
        <f>IF(D93="","-",+C143+1)</f>
        <v>2060</v>
      </c>
      <c r="D144" s="12">
        <f>IF(F143+SUM(E$99:E143)=D$92,F143,D$92-SUM(E$99:E143))</f>
        <v>0</v>
      </c>
      <c r="E144" s="56">
        <f t="shared" si="16"/>
        <v>0</v>
      </c>
      <c r="F144" s="55">
        <f t="shared" si="17"/>
        <v>0</v>
      </c>
      <c r="G144" s="55">
        <f t="shared" si="18"/>
        <v>0</v>
      </c>
      <c r="H144" s="113">
        <f t="shared" si="12"/>
        <v>0</v>
      </c>
      <c r="I144" s="122">
        <f t="shared" si="13"/>
        <v>0</v>
      </c>
      <c r="J144" s="54">
        <f t="shared" si="19"/>
        <v>0</v>
      </c>
      <c r="K144" s="54"/>
      <c r="L144" s="115"/>
      <c r="M144" s="54">
        <f t="shared" si="20"/>
        <v>0</v>
      </c>
      <c r="N144" s="115"/>
      <c r="O144" s="54">
        <f t="shared" si="21"/>
        <v>0</v>
      </c>
      <c r="P144" s="54">
        <f t="shared" si="22"/>
        <v>0</v>
      </c>
    </row>
    <row r="145" spans="2:16" ht="12.5">
      <c r="B145" s="7" t="str">
        <f t="shared" si="15"/>
        <v/>
      </c>
      <c r="C145" s="50">
        <f>IF(D93="","-",+C144+1)</f>
        <v>2061</v>
      </c>
      <c r="D145" s="12">
        <f>IF(F144+SUM(E$99:E144)=D$92,F144,D$92-SUM(E$99:E144))</f>
        <v>0</v>
      </c>
      <c r="E145" s="56">
        <f t="shared" si="16"/>
        <v>0</v>
      </c>
      <c r="F145" s="55">
        <f t="shared" si="17"/>
        <v>0</v>
      </c>
      <c r="G145" s="55">
        <f t="shared" si="18"/>
        <v>0</v>
      </c>
      <c r="H145" s="113">
        <f t="shared" si="12"/>
        <v>0</v>
      </c>
      <c r="I145" s="122">
        <f t="shared" si="13"/>
        <v>0</v>
      </c>
      <c r="J145" s="54">
        <f t="shared" si="19"/>
        <v>0</v>
      </c>
      <c r="K145" s="54"/>
      <c r="L145" s="115"/>
      <c r="M145" s="54">
        <f t="shared" si="20"/>
        <v>0</v>
      </c>
      <c r="N145" s="115"/>
      <c r="O145" s="54">
        <f t="shared" si="21"/>
        <v>0</v>
      </c>
      <c r="P145" s="54">
        <f t="shared" si="22"/>
        <v>0</v>
      </c>
    </row>
    <row r="146" spans="2:16" ht="12.5">
      <c r="B146" s="7" t="str">
        <f t="shared" si="15"/>
        <v/>
      </c>
      <c r="C146" s="50">
        <f>IF(D93="","-",+C145+1)</f>
        <v>2062</v>
      </c>
      <c r="D146" s="12">
        <f>IF(F145+SUM(E$99:E145)=D$92,F145,D$92-SUM(E$99:E145))</f>
        <v>0</v>
      </c>
      <c r="E146" s="56">
        <f t="shared" si="16"/>
        <v>0</v>
      </c>
      <c r="F146" s="55">
        <f t="shared" si="17"/>
        <v>0</v>
      </c>
      <c r="G146" s="55">
        <f t="shared" si="18"/>
        <v>0</v>
      </c>
      <c r="H146" s="113">
        <f t="shared" si="12"/>
        <v>0</v>
      </c>
      <c r="I146" s="122">
        <f t="shared" si="13"/>
        <v>0</v>
      </c>
      <c r="J146" s="54">
        <f t="shared" si="19"/>
        <v>0</v>
      </c>
      <c r="K146" s="54"/>
      <c r="L146" s="115"/>
      <c r="M146" s="54">
        <f t="shared" si="20"/>
        <v>0</v>
      </c>
      <c r="N146" s="115"/>
      <c r="O146" s="54">
        <f t="shared" si="21"/>
        <v>0</v>
      </c>
      <c r="P146" s="54">
        <f t="shared" si="22"/>
        <v>0</v>
      </c>
    </row>
    <row r="147" spans="2:16" ht="12.5">
      <c r="B147" s="7" t="str">
        <f t="shared" si="15"/>
        <v/>
      </c>
      <c r="C147" s="50">
        <f>IF(D93="","-",+C146+1)</f>
        <v>2063</v>
      </c>
      <c r="D147" s="12">
        <f>IF(F146+SUM(E$99:E146)=D$92,F146,D$92-SUM(E$99:E146))</f>
        <v>0</v>
      </c>
      <c r="E147" s="56">
        <f t="shared" si="16"/>
        <v>0</v>
      </c>
      <c r="F147" s="55">
        <f t="shared" si="17"/>
        <v>0</v>
      </c>
      <c r="G147" s="55">
        <f t="shared" si="18"/>
        <v>0</v>
      </c>
      <c r="H147" s="113">
        <f t="shared" si="12"/>
        <v>0</v>
      </c>
      <c r="I147" s="122">
        <f t="shared" si="13"/>
        <v>0</v>
      </c>
      <c r="J147" s="54">
        <f t="shared" si="19"/>
        <v>0</v>
      </c>
      <c r="K147" s="54"/>
      <c r="L147" s="115"/>
      <c r="M147" s="54">
        <f t="shared" si="20"/>
        <v>0</v>
      </c>
      <c r="N147" s="115"/>
      <c r="O147" s="54">
        <f t="shared" si="21"/>
        <v>0</v>
      </c>
      <c r="P147" s="54">
        <f t="shared" si="22"/>
        <v>0</v>
      </c>
    </row>
    <row r="148" spans="2:16" ht="12.5">
      <c r="B148" s="7" t="str">
        <f t="shared" si="15"/>
        <v/>
      </c>
      <c r="C148" s="50">
        <f>IF(D93="","-",+C147+1)</f>
        <v>2064</v>
      </c>
      <c r="D148" s="12">
        <f>IF(F147+SUM(E$99:E147)=D$92,F147,D$92-SUM(E$99:E147))</f>
        <v>0</v>
      </c>
      <c r="E148" s="56">
        <f t="shared" si="16"/>
        <v>0</v>
      </c>
      <c r="F148" s="55">
        <f t="shared" si="17"/>
        <v>0</v>
      </c>
      <c r="G148" s="55">
        <f t="shared" si="18"/>
        <v>0</v>
      </c>
      <c r="H148" s="113">
        <f t="shared" si="12"/>
        <v>0</v>
      </c>
      <c r="I148" s="122">
        <f t="shared" si="13"/>
        <v>0</v>
      </c>
      <c r="J148" s="54">
        <f t="shared" si="19"/>
        <v>0</v>
      </c>
      <c r="K148" s="54"/>
      <c r="L148" s="115"/>
      <c r="M148" s="54">
        <f t="shared" si="20"/>
        <v>0</v>
      </c>
      <c r="N148" s="115"/>
      <c r="O148" s="54">
        <f t="shared" si="21"/>
        <v>0</v>
      </c>
      <c r="P148" s="54">
        <f t="shared" si="22"/>
        <v>0</v>
      </c>
    </row>
    <row r="149" spans="2:16" ht="12.5">
      <c r="B149" s="7" t="str">
        <f t="shared" si="15"/>
        <v/>
      </c>
      <c r="C149" s="50">
        <f>IF(D93="","-",+C148+1)</f>
        <v>2065</v>
      </c>
      <c r="D149" s="12">
        <f>IF(F148+SUM(E$99:E148)=D$92,F148,D$92-SUM(E$99:E148))</f>
        <v>0</v>
      </c>
      <c r="E149" s="56">
        <f t="shared" si="16"/>
        <v>0</v>
      </c>
      <c r="F149" s="55">
        <f t="shared" si="17"/>
        <v>0</v>
      </c>
      <c r="G149" s="55">
        <f t="shared" si="18"/>
        <v>0</v>
      </c>
      <c r="H149" s="113">
        <f t="shared" si="12"/>
        <v>0</v>
      </c>
      <c r="I149" s="122">
        <f t="shared" si="13"/>
        <v>0</v>
      </c>
      <c r="J149" s="54">
        <f t="shared" si="19"/>
        <v>0</v>
      </c>
      <c r="K149" s="54"/>
      <c r="L149" s="115"/>
      <c r="M149" s="54">
        <f t="shared" si="20"/>
        <v>0</v>
      </c>
      <c r="N149" s="115"/>
      <c r="O149" s="54">
        <f t="shared" si="21"/>
        <v>0</v>
      </c>
      <c r="P149" s="54">
        <f t="shared" si="22"/>
        <v>0</v>
      </c>
    </row>
    <row r="150" spans="2:16" ht="12.5">
      <c r="B150" s="7" t="str">
        <f t="shared" si="15"/>
        <v/>
      </c>
      <c r="C150" s="50">
        <f>IF(D93="","-",+C149+1)</f>
        <v>2066</v>
      </c>
      <c r="D150" s="12">
        <f>IF(F149+SUM(E$99:E149)=D$92,F149,D$92-SUM(E$99:E149))</f>
        <v>0</v>
      </c>
      <c r="E150" s="56">
        <f t="shared" si="16"/>
        <v>0</v>
      </c>
      <c r="F150" s="55">
        <f t="shared" si="17"/>
        <v>0</v>
      </c>
      <c r="G150" s="55">
        <f t="shared" si="18"/>
        <v>0</v>
      </c>
      <c r="H150" s="113">
        <f t="shared" si="12"/>
        <v>0</v>
      </c>
      <c r="I150" s="122">
        <f t="shared" si="13"/>
        <v>0</v>
      </c>
      <c r="J150" s="54">
        <f t="shared" si="19"/>
        <v>0</v>
      </c>
      <c r="K150" s="54"/>
      <c r="L150" s="115"/>
      <c r="M150" s="54">
        <f t="shared" si="20"/>
        <v>0</v>
      </c>
      <c r="N150" s="115"/>
      <c r="O150" s="54">
        <f t="shared" si="21"/>
        <v>0</v>
      </c>
      <c r="P150" s="54">
        <f t="shared" si="22"/>
        <v>0</v>
      </c>
    </row>
    <row r="151" spans="2:16" ht="12.5">
      <c r="B151" s="7" t="str">
        <f t="shared" si="15"/>
        <v/>
      </c>
      <c r="C151" s="50">
        <f>IF(D93="","-",+C150+1)</f>
        <v>2067</v>
      </c>
      <c r="D151" s="12">
        <f>IF(F150+SUM(E$99:E150)=D$92,F150,D$92-SUM(E$99:E150))</f>
        <v>0</v>
      </c>
      <c r="E151" s="56">
        <f t="shared" si="16"/>
        <v>0</v>
      </c>
      <c r="F151" s="55">
        <f t="shared" si="17"/>
        <v>0</v>
      </c>
      <c r="G151" s="55">
        <f t="shared" si="18"/>
        <v>0</v>
      </c>
      <c r="H151" s="113">
        <f t="shared" si="12"/>
        <v>0</v>
      </c>
      <c r="I151" s="122">
        <f t="shared" si="13"/>
        <v>0</v>
      </c>
      <c r="J151" s="54">
        <f t="shared" si="19"/>
        <v>0</v>
      </c>
      <c r="K151" s="54"/>
      <c r="L151" s="115"/>
      <c r="M151" s="54">
        <f t="shared" si="20"/>
        <v>0</v>
      </c>
      <c r="N151" s="115"/>
      <c r="O151" s="54">
        <f t="shared" si="21"/>
        <v>0</v>
      </c>
      <c r="P151" s="54">
        <f t="shared" si="22"/>
        <v>0</v>
      </c>
    </row>
    <row r="152" spans="2:16" ht="12.5">
      <c r="B152" s="7" t="str">
        <f t="shared" si="15"/>
        <v/>
      </c>
      <c r="C152" s="50">
        <f>IF(D93="","-",+C151+1)</f>
        <v>2068</v>
      </c>
      <c r="D152" s="12">
        <f>IF(F151+SUM(E$99:E151)=D$92,F151,D$92-SUM(E$99:E151))</f>
        <v>0</v>
      </c>
      <c r="E152" s="56">
        <f t="shared" si="16"/>
        <v>0</v>
      </c>
      <c r="F152" s="55">
        <f t="shared" si="17"/>
        <v>0</v>
      </c>
      <c r="G152" s="55">
        <f t="shared" si="18"/>
        <v>0</v>
      </c>
      <c r="H152" s="113">
        <f t="shared" si="12"/>
        <v>0</v>
      </c>
      <c r="I152" s="122">
        <f t="shared" si="13"/>
        <v>0</v>
      </c>
      <c r="J152" s="54">
        <f t="shared" si="19"/>
        <v>0</v>
      </c>
      <c r="K152" s="54"/>
      <c r="L152" s="115"/>
      <c r="M152" s="54">
        <f t="shared" si="20"/>
        <v>0</v>
      </c>
      <c r="N152" s="115"/>
      <c r="O152" s="54">
        <f t="shared" si="21"/>
        <v>0</v>
      </c>
      <c r="P152" s="54">
        <f t="shared" si="22"/>
        <v>0</v>
      </c>
    </row>
    <row r="153" spans="2:16" ht="12.5">
      <c r="B153" s="7" t="str">
        <f t="shared" si="15"/>
        <v/>
      </c>
      <c r="C153" s="50">
        <f>IF(D93="","-",+C152+1)</f>
        <v>2069</v>
      </c>
      <c r="D153" s="12">
        <f>IF(F152+SUM(E$99:E152)=D$92,F152,D$92-SUM(E$99:E152))</f>
        <v>0</v>
      </c>
      <c r="E153" s="56">
        <f t="shared" si="16"/>
        <v>0</v>
      </c>
      <c r="F153" s="55">
        <f t="shared" si="17"/>
        <v>0</v>
      </c>
      <c r="G153" s="55">
        <f t="shared" si="18"/>
        <v>0</v>
      </c>
      <c r="H153" s="113">
        <f t="shared" si="12"/>
        <v>0</v>
      </c>
      <c r="I153" s="122">
        <f t="shared" si="13"/>
        <v>0</v>
      </c>
      <c r="J153" s="54">
        <f t="shared" si="19"/>
        <v>0</v>
      </c>
      <c r="K153" s="54"/>
      <c r="L153" s="115"/>
      <c r="M153" s="54">
        <f t="shared" si="20"/>
        <v>0</v>
      </c>
      <c r="N153" s="115"/>
      <c r="O153" s="54">
        <f t="shared" si="21"/>
        <v>0</v>
      </c>
      <c r="P153" s="54">
        <f t="shared" si="22"/>
        <v>0</v>
      </c>
    </row>
    <row r="154" spans="2:16" ht="13" thickBot="1">
      <c r="B154" s="7" t="str">
        <f t="shared" si="15"/>
        <v/>
      </c>
      <c r="C154" s="58">
        <f>IF(D93="","-",+C153+1)</f>
        <v>2070</v>
      </c>
      <c r="D154" s="82">
        <f>IF(F153+SUM(E$99:E153)=D$92,F153,D$92-SUM(E$99:E153))</f>
        <v>0</v>
      </c>
      <c r="E154" s="60">
        <f t="shared" si="16"/>
        <v>0</v>
      </c>
      <c r="F154" s="59">
        <f t="shared" si="17"/>
        <v>0</v>
      </c>
      <c r="G154" s="59">
        <f t="shared" si="18"/>
        <v>0</v>
      </c>
      <c r="H154" s="123">
        <f t="shared" si="12"/>
        <v>0</v>
      </c>
      <c r="I154" s="124">
        <f t="shared" si="13"/>
        <v>0</v>
      </c>
      <c r="J154" s="62">
        <f t="shared" si="19"/>
        <v>0</v>
      </c>
      <c r="K154" s="54"/>
      <c r="L154" s="116"/>
      <c r="M154" s="62">
        <f t="shared" si="20"/>
        <v>0</v>
      </c>
      <c r="N154" s="116"/>
      <c r="O154" s="62">
        <f t="shared" si="21"/>
        <v>0</v>
      </c>
      <c r="P154" s="62">
        <f t="shared" si="22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89CB-782E-402E-BAF6-95B46899C4FF}">
  <dimension ref="A1:P162"/>
  <sheetViews>
    <sheetView topLeftCell="N36" zoomScaleNormal="100" zoomScaleSheetLayoutView="78" workbookViewId="0">
      <selection activeCell="E21" sqref="E2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"&amp;COUNT(#REF!)-1</f>
        <v>PSO Project k  of -1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284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285</v>
      </c>
      <c r="L6" s="24"/>
      <c r="M6" s="1"/>
      <c r="N6" s="25">
        <f>VLOOKUP(I10,C17:I72,6)</f>
        <v>0</v>
      </c>
      <c r="O6" s="1"/>
      <c r="P6" s="1"/>
    </row>
    <row r="7" spans="1:16" ht="13.5" thickBot="1">
      <c r="C7" s="26" t="s">
        <v>46</v>
      </c>
      <c r="D7" s="88" t="s">
        <v>108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/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/>
      <c r="E10" s="1" t="s">
        <v>51</v>
      </c>
      <c r="G10" s="2"/>
      <c r="H10" s="2"/>
      <c r="I10" s="36">
        <f>+'PSO.WS.F.BPU.ATRR.Projected'!L19</f>
        <v>2026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4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286</v>
      </c>
      <c r="H15" s="126" t="s">
        <v>287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2017</v>
      </c>
      <c r="D17" s="12">
        <v>0</v>
      </c>
      <c r="E17" s="51">
        <f>IF(D10&gt;=100000,I$14/12*(12-D12),0)</f>
        <v>0</v>
      </c>
      <c r="F17" s="55">
        <f>IF(D11=C17,+D10-E17,+D17-E17)</f>
        <v>0</v>
      </c>
      <c r="G17" s="51">
        <f>(D17+F17)/2*I$12+E17</f>
        <v>0</v>
      </c>
      <c r="H17" s="42">
        <f>+(D17+F17)/2*I$13+E17</f>
        <v>0</v>
      </c>
      <c r="I17" s="52">
        <f>H17-G17</f>
        <v>0</v>
      </c>
      <c r="J17" s="52"/>
      <c r="K17" s="117"/>
      <c r="L17" s="53">
        <f t="shared" ref="L17:L72" si="0">IF(K17&lt;&gt;0,+G17-K17,0)</f>
        <v>0</v>
      </c>
      <c r="M17" s="117"/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55">
        <f>IF(F17+SUM(E$17:E17)=D$10,F17,D$10-SUM(E$17:E17))</f>
        <v>0</v>
      </c>
      <c r="E18" s="56">
        <f>IF(+I$14&lt;F17,I$14,D18)</f>
        <v>0</v>
      </c>
      <c r="F18" s="55">
        <f>+D18-E18</f>
        <v>0</v>
      </c>
      <c r="G18" s="57">
        <f>(D18+F18)/2*I$12+E18</f>
        <v>0</v>
      </c>
      <c r="H18" s="42">
        <f>+(D18+F18)/2*I$13+E18</f>
        <v>0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55">
        <f>IF(F18+SUM(E$17:E18)=D$10,F18,D$10-SUM(E$17:E18))</f>
        <v>0</v>
      </c>
      <c r="E19" s="56">
        <f t="shared" ref="E19:E71" si="3">IF(+I$14&lt;F18,I$14,D19)</f>
        <v>0</v>
      </c>
      <c r="F19" s="55">
        <f t="shared" ref="F19:F71" si="4">+D19-E19</f>
        <v>0</v>
      </c>
      <c r="G19" s="57">
        <f t="shared" ref="G19:G71" si="5">(D19+F19)/2*I$12+E19</f>
        <v>0</v>
      </c>
      <c r="H19" s="42">
        <f t="shared" ref="H19:H71" si="6">+(D19+F19)/2*I$13+E19</f>
        <v>0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2020</v>
      </c>
      <c r="D20" s="55">
        <f>IF(F19+SUM(E$17:E19)=D$10,F19,D$10-SUM(E$17:E19))</f>
        <v>0</v>
      </c>
      <c r="E20" s="56">
        <f t="shared" si="3"/>
        <v>0</v>
      </c>
      <c r="F20" s="55">
        <f t="shared" si="4"/>
        <v>0</v>
      </c>
      <c r="G20" s="57">
        <f t="shared" si="5"/>
        <v>0</v>
      </c>
      <c r="H20" s="42">
        <f t="shared" si="6"/>
        <v>0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8"/>
        <v/>
      </c>
      <c r="C21" s="50">
        <f>IF(D11="","-",+C20+1)</f>
        <v>2021</v>
      </c>
      <c r="D21" s="55">
        <f>IF(F20+SUM(E$17:E20)=D$10,F20,D$10-SUM(E$17:E20))</f>
        <v>0</v>
      </c>
      <c r="E21" s="56">
        <f t="shared" si="3"/>
        <v>0</v>
      </c>
      <c r="F21" s="55">
        <f t="shared" si="4"/>
        <v>0</v>
      </c>
      <c r="G21" s="57">
        <f t="shared" si="5"/>
        <v>0</v>
      </c>
      <c r="H21" s="42">
        <f t="shared" si="6"/>
        <v>0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 ht="12.5">
      <c r="B22" s="7" t="str">
        <f t="shared" si="8"/>
        <v/>
      </c>
      <c r="C22" s="50">
        <f>IF(D11="","-",+C21+1)</f>
        <v>2022</v>
      </c>
      <c r="D22" s="55">
        <f>IF(F21+SUM(E$17:E21)=D$10,F21,D$10-SUM(E$17:E21))</f>
        <v>0</v>
      </c>
      <c r="E22" s="56">
        <f t="shared" si="3"/>
        <v>0</v>
      </c>
      <c r="F22" s="55">
        <f t="shared" si="4"/>
        <v>0</v>
      </c>
      <c r="G22" s="57">
        <f t="shared" si="5"/>
        <v>0</v>
      </c>
      <c r="H22" s="42">
        <f t="shared" si="6"/>
        <v>0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8"/>
        <v/>
      </c>
      <c r="C23" s="50">
        <f>IF(D11="","-",+C22+1)</f>
        <v>2023</v>
      </c>
      <c r="D23" s="55">
        <f>IF(F22+SUM(E$17:E22)=D$10,F22,D$10-SUM(E$17:E22))</f>
        <v>0</v>
      </c>
      <c r="E23" s="56">
        <f t="shared" si="3"/>
        <v>0</v>
      </c>
      <c r="F23" s="55">
        <f t="shared" si="4"/>
        <v>0</v>
      </c>
      <c r="G23" s="57">
        <f t="shared" si="5"/>
        <v>0</v>
      </c>
      <c r="H23" s="42">
        <f t="shared" si="6"/>
        <v>0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8"/>
        <v/>
      </c>
      <c r="C24" s="50">
        <f>IF(D11="","-",+C23+1)</f>
        <v>2024</v>
      </c>
      <c r="D24" s="55">
        <f>IF(F23+SUM(E$17:E23)=D$10,F23,D$10-SUM(E$17:E23))</f>
        <v>0</v>
      </c>
      <c r="E24" s="56">
        <f t="shared" si="3"/>
        <v>0</v>
      </c>
      <c r="F24" s="55">
        <f t="shared" si="4"/>
        <v>0</v>
      </c>
      <c r="G24" s="57">
        <f t="shared" si="5"/>
        <v>0</v>
      </c>
      <c r="H24" s="42">
        <f t="shared" si="6"/>
        <v>0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8"/>
        <v/>
      </c>
      <c r="C25" s="50">
        <f>IF(D11="","-",+C24+1)</f>
        <v>2025</v>
      </c>
      <c r="D25" s="55">
        <f>IF(F24+SUM(E$17:E24)=D$10,F24,D$10-SUM(E$17:E24))</f>
        <v>0</v>
      </c>
      <c r="E25" s="56">
        <f t="shared" si="3"/>
        <v>0</v>
      </c>
      <c r="F25" s="55">
        <f t="shared" si="4"/>
        <v>0</v>
      </c>
      <c r="G25" s="57">
        <f t="shared" si="5"/>
        <v>0</v>
      </c>
      <c r="H25" s="42">
        <f t="shared" si="6"/>
        <v>0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8"/>
        <v/>
      </c>
      <c r="C26" s="50">
        <f>IF(D11="","-",+C25+1)</f>
        <v>2026</v>
      </c>
      <c r="D26" s="55">
        <f>IF(F25+SUM(E$17:E25)=D$10,F25,D$10-SUM(E$17:E25))</f>
        <v>0</v>
      </c>
      <c r="E26" s="56">
        <f t="shared" si="3"/>
        <v>0</v>
      </c>
      <c r="F26" s="55">
        <f t="shared" si="4"/>
        <v>0</v>
      </c>
      <c r="G26" s="57">
        <f t="shared" si="5"/>
        <v>0</v>
      </c>
      <c r="H26" s="42">
        <f t="shared" si="6"/>
        <v>0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8"/>
        <v/>
      </c>
      <c r="C27" s="50">
        <f>IF(D11="","-",+C26+1)</f>
        <v>2027</v>
      </c>
      <c r="D27" s="55">
        <f>IF(F26+SUM(E$17:E26)=D$10,F26,D$10-SUM(E$17:E26))</f>
        <v>0</v>
      </c>
      <c r="E27" s="56">
        <f t="shared" si="3"/>
        <v>0</v>
      </c>
      <c r="F27" s="55">
        <f t="shared" si="4"/>
        <v>0</v>
      </c>
      <c r="G27" s="57">
        <f t="shared" si="5"/>
        <v>0</v>
      </c>
      <c r="H27" s="42">
        <f t="shared" si="6"/>
        <v>0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8"/>
        <v/>
      </c>
      <c r="C28" s="50">
        <f>IF(D11="","-",+C27+1)</f>
        <v>2028</v>
      </c>
      <c r="D28" s="55">
        <f>IF(F27+SUM(E$17:E27)=D$10,F27,D$10-SUM(E$17:E27))</f>
        <v>0</v>
      </c>
      <c r="E28" s="56">
        <f t="shared" si="3"/>
        <v>0</v>
      </c>
      <c r="F28" s="55">
        <f t="shared" si="4"/>
        <v>0</v>
      </c>
      <c r="G28" s="57">
        <f t="shared" si="5"/>
        <v>0</v>
      </c>
      <c r="H28" s="42">
        <f t="shared" si="6"/>
        <v>0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8"/>
        <v/>
      </c>
      <c r="C29" s="50">
        <f>IF(D11="","-",+C28+1)</f>
        <v>2029</v>
      </c>
      <c r="D29" s="55">
        <f>IF(F28+SUM(E$17:E28)=D$10,F28,D$10-SUM(E$17:E28))</f>
        <v>0</v>
      </c>
      <c r="E29" s="56">
        <f t="shared" si="3"/>
        <v>0</v>
      </c>
      <c r="F29" s="55">
        <f t="shared" si="4"/>
        <v>0</v>
      </c>
      <c r="G29" s="57">
        <f t="shared" si="5"/>
        <v>0</v>
      </c>
      <c r="H29" s="42">
        <f t="shared" si="6"/>
        <v>0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8"/>
        <v/>
      </c>
      <c r="C30" s="50">
        <f>IF(D11="","-",+C29+1)</f>
        <v>2030</v>
      </c>
      <c r="D30" s="55">
        <f>IF(F29+SUM(E$17:E29)=D$10,F29,D$10-SUM(E$17:E29))</f>
        <v>0</v>
      </c>
      <c r="E30" s="56">
        <f t="shared" si="3"/>
        <v>0</v>
      </c>
      <c r="F30" s="55">
        <f t="shared" si="4"/>
        <v>0</v>
      </c>
      <c r="G30" s="57">
        <f t="shared" si="5"/>
        <v>0</v>
      </c>
      <c r="H30" s="42">
        <f t="shared" si="6"/>
        <v>0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8"/>
        <v/>
      </c>
      <c r="C31" s="50">
        <f>IF(D11="","-",+C30+1)</f>
        <v>2031</v>
      </c>
      <c r="D31" s="55">
        <f>IF(F30+SUM(E$17:E30)=D$10,F30,D$10-SUM(E$17:E30))</f>
        <v>0</v>
      </c>
      <c r="E31" s="56">
        <f t="shared" si="3"/>
        <v>0</v>
      </c>
      <c r="F31" s="55">
        <f t="shared" si="4"/>
        <v>0</v>
      </c>
      <c r="G31" s="57">
        <f t="shared" si="5"/>
        <v>0</v>
      </c>
      <c r="H31" s="42">
        <f t="shared" si="6"/>
        <v>0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8"/>
        <v/>
      </c>
      <c r="C32" s="50">
        <f>IF(D11="","-",+C31+1)</f>
        <v>2032</v>
      </c>
      <c r="D32" s="55">
        <f>IF(F31+SUM(E$17:E31)=D$10,F31,D$10-SUM(E$17:E31))</f>
        <v>0</v>
      </c>
      <c r="E32" s="56">
        <f t="shared" si="3"/>
        <v>0</v>
      </c>
      <c r="F32" s="55">
        <f t="shared" si="4"/>
        <v>0</v>
      </c>
      <c r="G32" s="57">
        <f t="shared" si="5"/>
        <v>0</v>
      </c>
      <c r="H32" s="42">
        <f t="shared" si="6"/>
        <v>0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8"/>
        <v/>
      </c>
      <c r="C33" s="50">
        <f>IF(D11="","-",+C32+1)</f>
        <v>2033</v>
      </c>
      <c r="D33" s="55">
        <f>IF(F32+SUM(E$17:E32)=D$10,F32,D$10-SUM(E$17:E32))</f>
        <v>0</v>
      </c>
      <c r="E33" s="56">
        <f t="shared" si="3"/>
        <v>0</v>
      </c>
      <c r="F33" s="55">
        <f t="shared" si="4"/>
        <v>0</v>
      </c>
      <c r="G33" s="57">
        <f t="shared" si="5"/>
        <v>0</v>
      </c>
      <c r="H33" s="42">
        <f t="shared" si="6"/>
        <v>0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8"/>
        <v/>
      </c>
      <c r="C34" s="50">
        <f>IF(D11="","-",+C33+1)</f>
        <v>2034</v>
      </c>
      <c r="D34" s="55">
        <f>IF(F33+SUM(E$17:E33)=D$10,F33,D$10-SUM(E$17:E33))</f>
        <v>0</v>
      </c>
      <c r="E34" s="56">
        <f t="shared" si="3"/>
        <v>0</v>
      </c>
      <c r="F34" s="55">
        <f t="shared" si="4"/>
        <v>0</v>
      </c>
      <c r="G34" s="57">
        <f t="shared" si="5"/>
        <v>0</v>
      </c>
      <c r="H34" s="42">
        <f t="shared" si="6"/>
        <v>0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8"/>
        <v/>
      </c>
      <c r="C35" s="50">
        <f>IF(D11="","-",+C34+1)</f>
        <v>2035</v>
      </c>
      <c r="D35" s="55">
        <f>IF(F34+SUM(E$17:E34)=D$10,F34,D$10-SUM(E$17:E34))</f>
        <v>0</v>
      </c>
      <c r="E35" s="56">
        <f t="shared" si="3"/>
        <v>0</v>
      </c>
      <c r="F35" s="55">
        <f t="shared" si="4"/>
        <v>0</v>
      </c>
      <c r="G35" s="57">
        <f t="shared" si="5"/>
        <v>0</v>
      </c>
      <c r="H35" s="42">
        <f t="shared" si="6"/>
        <v>0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8"/>
        <v/>
      </c>
      <c r="C36" s="50">
        <f>IF(D11="","-",+C35+1)</f>
        <v>2036</v>
      </c>
      <c r="D36" s="55">
        <f>IF(F35+SUM(E$17:E35)=D$10,F35,D$10-SUM(E$17:E35))</f>
        <v>0</v>
      </c>
      <c r="E36" s="56">
        <f t="shared" si="3"/>
        <v>0</v>
      </c>
      <c r="F36" s="55">
        <f t="shared" si="4"/>
        <v>0</v>
      </c>
      <c r="G36" s="57">
        <f t="shared" si="5"/>
        <v>0</v>
      </c>
      <c r="H36" s="42">
        <f t="shared" si="6"/>
        <v>0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8"/>
        <v/>
      </c>
      <c r="C37" s="50">
        <f>IF(D11="","-",+C36+1)</f>
        <v>2037</v>
      </c>
      <c r="D37" s="55">
        <f>IF(F36+SUM(E$17:E36)=D$10,F36,D$10-SUM(E$17:E36))</f>
        <v>0</v>
      </c>
      <c r="E37" s="56">
        <f t="shared" si="3"/>
        <v>0</v>
      </c>
      <c r="F37" s="55">
        <f t="shared" si="4"/>
        <v>0</v>
      </c>
      <c r="G37" s="57">
        <f t="shared" si="5"/>
        <v>0</v>
      </c>
      <c r="H37" s="42">
        <f t="shared" si="6"/>
        <v>0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8"/>
        <v/>
      </c>
      <c r="C38" s="50">
        <f>IF(D11="","-",+C37+1)</f>
        <v>2038</v>
      </c>
      <c r="D38" s="55">
        <f>IF(F37+SUM(E$17:E37)=D$10,F37,D$10-SUM(E$17:E37))</f>
        <v>0</v>
      </c>
      <c r="E38" s="56">
        <f t="shared" si="3"/>
        <v>0</v>
      </c>
      <c r="F38" s="55">
        <f t="shared" si="4"/>
        <v>0</v>
      </c>
      <c r="G38" s="57">
        <f t="shared" si="5"/>
        <v>0</v>
      </c>
      <c r="H38" s="42">
        <f t="shared" si="6"/>
        <v>0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8"/>
        <v/>
      </c>
      <c r="C39" s="50">
        <f>IF(D11="","-",+C38+1)</f>
        <v>2039</v>
      </c>
      <c r="D39" s="55">
        <f>IF(F38+SUM(E$17:E38)=D$10,F38,D$10-SUM(E$17:E38))</f>
        <v>0</v>
      </c>
      <c r="E39" s="56">
        <f t="shared" si="3"/>
        <v>0</v>
      </c>
      <c r="F39" s="55">
        <f t="shared" si="4"/>
        <v>0</v>
      </c>
      <c r="G39" s="57">
        <f t="shared" si="5"/>
        <v>0</v>
      </c>
      <c r="H39" s="42">
        <f t="shared" si="6"/>
        <v>0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8"/>
        <v/>
      </c>
      <c r="C40" s="50">
        <f>IF(D11="","-",+C39+1)</f>
        <v>2040</v>
      </c>
      <c r="D40" s="55">
        <f>IF(F39+SUM(E$17:E39)=D$10,F39,D$10-SUM(E$17:E39))</f>
        <v>0</v>
      </c>
      <c r="E40" s="56">
        <f t="shared" si="3"/>
        <v>0</v>
      </c>
      <c r="F40" s="55">
        <f t="shared" si="4"/>
        <v>0</v>
      </c>
      <c r="G40" s="57">
        <f t="shared" si="5"/>
        <v>0</v>
      </c>
      <c r="H40" s="42">
        <f t="shared" si="6"/>
        <v>0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8"/>
        <v/>
      </c>
      <c r="C41" s="50">
        <f>IF(D11="","-",+C40+1)</f>
        <v>2041</v>
      </c>
      <c r="D41" s="55">
        <f>IF(F40+SUM(E$17:E40)=D$10,F40,D$10-SUM(E$17:E40))</f>
        <v>0</v>
      </c>
      <c r="E41" s="56">
        <f t="shared" si="3"/>
        <v>0</v>
      </c>
      <c r="F41" s="55">
        <f t="shared" si="4"/>
        <v>0</v>
      </c>
      <c r="G41" s="57">
        <f t="shared" si="5"/>
        <v>0</v>
      </c>
      <c r="H41" s="42">
        <f t="shared" si="6"/>
        <v>0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8"/>
        <v/>
      </c>
      <c r="C42" s="50">
        <f>IF(D11="","-",+C41+1)</f>
        <v>2042</v>
      </c>
      <c r="D42" s="55">
        <f>IF(F41+SUM(E$17:E41)=D$10,F41,D$10-SUM(E$17:E41))</f>
        <v>0</v>
      </c>
      <c r="E42" s="56">
        <f t="shared" si="3"/>
        <v>0</v>
      </c>
      <c r="F42" s="55">
        <f t="shared" si="4"/>
        <v>0</v>
      </c>
      <c r="G42" s="57">
        <f t="shared" si="5"/>
        <v>0</v>
      </c>
      <c r="H42" s="42">
        <f t="shared" si="6"/>
        <v>0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8"/>
        <v/>
      </c>
      <c r="C43" s="50">
        <f>IF(D11="","-",+C42+1)</f>
        <v>2043</v>
      </c>
      <c r="D43" s="55">
        <f>IF(F42+SUM(E$17:E42)=D$10,F42,D$10-SUM(E$17:E42))</f>
        <v>0</v>
      </c>
      <c r="E43" s="56">
        <f t="shared" si="3"/>
        <v>0</v>
      </c>
      <c r="F43" s="55">
        <f t="shared" si="4"/>
        <v>0</v>
      </c>
      <c r="G43" s="57">
        <f t="shared" si="5"/>
        <v>0</v>
      </c>
      <c r="H43" s="42">
        <f t="shared" si="6"/>
        <v>0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8"/>
        <v/>
      </c>
      <c r="C44" s="50">
        <f>IF(D11="","-",+C43+1)</f>
        <v>2044</v>
      </c>
      <c r="D44" s="55">
        <f>IF(F43+SUM(E$17:E43)=D$10,F43,D$10-SUM(E$17:E43))</f>
        <v>0</v>
      </c>
      <c r="E44" s="56">
        <f t="shared" si="3"/>
        <v>0</v>
      </c>
      <c r="F44" s="55">
        <f t="shared" si="4"/>
        <v>0</v>
      </c>
      <c r="G44" s="57">
        <f t="shared" si="5"/>
        <v>0</v>
      </c>
      <c r="H44" s="42">
        <f t="shared" si="6"/>
        <v>0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8"/>
        <v/>
      </c>
      <c r="C45" s="50">
        <f>IF(D11="","-",+C44+1)</f>
        <v>2045</v>
      </c>
      <c r="D45" s="55">
        <f>IF(F44+SUM(E$17:E44)=D$10,F44,D$10-SUM(E$17:E44))</f>
        <v>0</v>
      </c>
      <c r="E45" s="56">
        <f t="shared" si="3"/>
        <v>0</v>
      </c>
      <c r="F45" s="55">
        <f t="shared" si="4"/>
        <v>0</v>
      </c>
      <c r="G45" s="57">
        <f t="shared" si="5"/>
        <v>0</v>
      </c>
      <c r="H45" s="42">
        <f t="shared" si="6"/>
        <v>0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8"/>
        <v/>
      </c>
      <c r="C46" s="50">
        <f>IF(D11="","-",+C45+1)</f>
        <v>2046</v>
      </c>
      <c r="D46" s="55">
        <f>IF(F45+SUM(E$17:E45)=D$10,F45,D$10-SUM(E$17:E45))</f>
        <v>0</v>
      </c>
      <c r="E46" s="56">
        <f t="shared" si="3"/>
        <v>0</v>
      </c>
      <c r="F46" s="55">
        <f t="shared" si="4"/>
        <v>0</v>
      </c>
      <c r="G46" s="57">
        <f t="shared" si="5"/>
        <v>0</v>
      </c>
      <c r="H46" s="42">
        <f t="shared" si="6"/>
        <v>0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8"/>
        <v/>
      </c>
      <c r="C47" s="50">
        <f>IF(D11="","-",+C46+1)</f>
        <v>2047</v>
      </c>
      <c r="D47" s="55">
        <f>IF(F46+SUM(E$17:E46)=D$10,F46,D$10-SUM(E$17:E46))</f>
        <v>0</v>
      </c>
      <c r="E47" s="56">
        <f t="shared" si="3"/>
        <v>0</v>
      </c>
      <c r="F47" s="55">
        <f t="shared" si="4"/>
        <v>0</v>
      </c>
      <c r="G47" s="57">
        <f t="shared" si="5"/>
        <v>0</v>
      </c>
      <c r="H47" s="42">
        <f t="shared" si="6"/>
        <v>0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8"/>
        <v/>
      </c>
      <c r="C48" s="50">
        <f>IF(D11="","-",+C47+1)</f>
        <v>2048</v>
      </c>
      <c r="D48" s="55">
        <f>IF(F47+SUM(E$17:E47)=D$10,F47,D$10-SUM(E$17:E47))</f>
        <v>0</v>
      </c>
      <c r="E48" s="56">
        <f t="shared" si="3"/>
        <v>0</v>
      </c>
      <c r="F48" s="55">
        <f t="shared" si="4"/>
        <v>0</v>
      </c>
      <c r="G48" s="57">
        <f t="shared" si="5"/>
        <v>0</v>
      </c>
      <c r="H48" s="42">
        <f t="shared" si="6"/>
        <v>0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 ht="12.5">
      <c r="B49" s="7" t="str">
        <f t="shared" si="8"/>
        <v/>
      </c>
      <c r="C49" s="50">
        <f>IF(D11="","-",+C48+1)</f>
        <v>2049</v>
      </c>
      <c r="D49" s="55">
        <f>IF(F48+SUM(E$17:E48)=D$10,F48,D$10-SUM(E$17:E48))</f>
        <v>0</v>
      </c>
      <c r="E49" s="56">
        <f t="shared" si="3"/>
        <v>0</v>
      </c>
      <c r="F49" s="55">
        <f t="shared" si="4"/>
        <v>0</v>
      </c>
      <c r="G49" s="57">
        <f t="shared" si="5"/>
        <v>0</v>
      </c>
      <c r="H49" s="42">
        <f t="shared" si="6"/>
        <v>0</v>
      </c>
      <c r="I49" s="52">
        <f t="shared" si="7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 ht="12.5">
      <c r="B50" s="7" t="str">
        <f t="shared" si="8"/>
        <v/>
      </c>
      <c r="C50" s="50">
        <f>IF(D11="","-",+C49+1)</f>
        <v>2050</v>
      </c>
      <c r="D50" s="55">
        <f>IF(F49+SUM(E$17:E49)=D$10,F49,D$10-SUM(E$17:E49))</f>
        <v>0</v>
      </c>
      <c r="E50" s="56">
        <f t="shared" si="3"/>
        <v>0</v>
      </c>
      <c r="F50" s="55">
        <f t="shared" si="4"/>
        <v>0</v>
      </c>
      <c r="G50" s="57">
        <f t="shared" si="5"/>
        <v>0</v>
      </c>
      <c r="H50" s="42">
        <f t="shared" si="6"/>
        <v>0</v>
      </c>
      <c r="I50" s="52">
        <f t="shared" si="7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 ht="12.5">
      <c r="B51" s="7" t="str">
        <f t="shared" si="8"/>
        <v/>
      </c>
      <c r="C51" s="50">
        <f>IF(D11="","-",+C50+1)</f>
        <v>2051</v>
      </c>
      <c r="D51" s="55">
        <f>IF(F50+SUM(E$17:E50)=D$10,F50,D$10-SUM(E$17:E50))</f>
        <v>0</v>
      </c>
      <c r="E51" s="56">
        <f t="shared" si="3"/>
        <v>0</v>
      </c>
      <c r="F51" s="55">
        <f t="shared" si="4"/>
        <v>0</v>
      </c>
      <c r="G51" s="57">
        <f t="shared" si="5"/>
        <v>0</v>
      </c>
      <c r="H51" s="42">
        <f t="shared" si="6"/>
        <v>0</v>
      </c>
      <c r="I51" s="52">
        <f t="shared" si="7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 ht="12.5">
      <c r="B52" s="7" t="str">
        <f t="shared" si="8"/>
        <v/>
      </c>
      <c r="C52" s="50">
        <f>IF(D11="","-",+C51+1)</f>
        <v>2052</v>
      </c>
      <c r="D52" s="55">
        <f>IF(F51+SUM(E$17:E51)=D$10,F51,D$10-SUM(E$17:E51))</f>
        <v>0</v>
      </c>
      <c r="E52" s="56">
        <f t="shared" si="3"/>
        <v>0</v>
      </c>
      <c r="F52" s="55">
        <f t="shared" si="4"/>
        <v>0</v>
      </c>
      <c r="G52" s="57">
        <f t="shared" si="5"/>
        <v>0</v>
      </c>
      <c r="H52" s="42">
        <f t="shared" si="6"/>
        <v>0</v>
      </c>
      <c r="I52" s="52">
        <f t="shared" si="7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 ht="12.5">
      <c r="B53" s="7" t="str">
        <f t="shared" si="8"/>
        <v/>
      </c>
      <c r="C53" s="50">
        <f>IF(D11="","-",+C52+1)</f>
        <v>2053</v>
      </c>
      <c r="D53" s="55">
        <f>IF(F52+SUM(E$17:E52)=D$10,F52,D$10-SUM(E$17:E52))</f>
        <v>0</v>
      </c>
      <c r="E53" s="56">
        <f t="shared" si="3"/>
        <v>0</v>
      </c>
      <c r="F53" s="55">
        <f t="shared" si="4"/>
        <v>0</v>
      </c>
      <c r="G53" s="57">
        <f t="shared" si="5"/>
        <v>0</v>
      </c>
      <c r="H53" s="42">
        <f t="shared" si="6"/>
        <v>0</v>
      </c>
      <c r="I53" s="52">
        <f t="shared" si="7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 ht="12.5">
      <c r="B54" s="7" t="str">
        <f t="shared" si="8"/>
        <v/>
      </c>
      <c r="C54" s="50">
        <f>IF(D11="","-",+C53+1)</f>
        <v>2054</v>
      </c>
      <c r="D54" s="55">
        <f>IF(F53+SUM(E$17:E53)=D$10,F53,D$10-SUM(E$17:E53))</f>
        <v>0</v>
      </c>
      <c r="E54" s="56">
        <f t="shared" si="3"/>
        <v>0</v>
      </c>
      <c r="F54" s="55">
        <f t="shared" si="4"/>
        <v>0</v>
      </c>
      <c r="G54" s="57">
        <f t="shared" si="5"/>
        <v>0</v>
      </c>
      <c r="H54" s="42">
        <f t="shared" si="6"/>
        <v>0</v>
      </c>
      <c r="I54" s="52">
        <f t="shared" si="7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 ht="12.5">
      <c r="B55" s="7" t="str">
        <f t="shared" si="8"/>
        <v/>
      </c>
      <c r="C55" s="50">
        <f>IF(D11="","-",+C54+1)</f>
        <v>2055</v>
      </c>
      <c r="D55" s="55">
        <f>IF(F54+SUM(E$17:E54)=D$10,F54,D$10-SUM(E$17:E54))</f>
        <v>0</v>
      </c>
      <c r="E55" s="56">
        <f t="shared" si="3"/>
        <v>0</v>
      </c>
      <c r="F55" s="55">
        <f t="shared" si="4"/>
        <v>0</v>
      </c>
      <c r="G55" s="57">
        <f t="shared" si="5"/>
        <v>0</v>
      </c>
      <c r="H55" s="42">
        <f t="shared" si="6"/>
        <v>0</v>
      </c>
      <c r="I55" s="52">
        <f t="shared" si="7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 ht="12.5">
      <c r="B56" s="7" t="str">
        <f t="shared" si="8"/>
        <v/>
      </c>
      <c r="C56" s="50">
        <f>IF(D11="","-",+C55+1)</f>
        <v>2056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 ht="12.5">
      <c r="B57" s="7" t="str">
        <f t="shared" si="8"/>
        <v/>
      </c>
      <c r="C57" s="50">
        <f>IF(D11="","-",+C56+1)</f>
        <v>2057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 ht="12.5">
      <c r="B58" s="7" t="str">
        <f t="shared" si="8"/>
        <v/>
      </c>
      <c r="C58" s="50">
        <f>IF(D11="","-",+C57+1)</f>
        <v>2058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 ht="12.5">
      <c r="B59" s="7" t="str">
        <f t="shared" si="8"/>
        <v/>
      </c>
      <c r="C59" s="50">
        <f>IF(D11="","-",+C58+1)</f>
        <v>2059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 ht="12.5">
      <c r="B60" s="7" t="str">
        <f t="shared" si="8"/>
        <v/>
      </c>
      <c r="C60" s="50">
        <f>IF(D11="","-",+C59+1)</f>
        <v>2060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 ht="12.5">
      <c r="B61" s="7" t="str">
        <f t="shared" si="8"/>
        <v/>
      </c>
      <c r="C61" s="50">
        <f>IF(D11="","-",+C60+1)</f>
        <v>2061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 ht="12.5">
      <c r="B62" s="7" t="str">
        <f t="shared" si="8"/>
        <v/>
      </c>
      <c r="C62" s="50">
        <f>IF(D11="","-",+C61+1)</f>
        <v>2062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 ht="12.5">
      <c r="B63" s="7" t="str">
        <f t="shared" si="8"/>
        <v/>
      </c>
      <c r="C63" s="50">
        <f>IF(D11="","-",+C62+1)</f>
        <v>2063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 ht="12.5">
      <c r="B64" s="7" t="str">
        <f t="shared" si="8"/>
        <v/>
      </c>
      <c r="C64" s="50">
        <f>IF(D11="","-",+C63+1)</f>
        <v>2064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 ht="12.5">
      <c r="B65" s="7" t="str">
        <f t="shared" si="8"/>
        <v/>
      </c>
      <c r="C65" s="50">
        <f>IF(D11="","-",+C64+1)</f>
        <v>2065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 ht="12.5">
      <c r="B66" s="7" t="str">
        <f t="shared" si="8"/>
        <v/>
      </c>
      <c r="C66" s="50">
        <f>IF(D11="","-",+C65+1)</f>
        <v>2066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 ht="12.5">
      <c r="B67" s="7" t="str">
        <f t="shared" si="8"/>
        <v/>
      </c>
      <c r="C67" s="50">
        <f>IF(D11="","-",+C66+1)</f>
        <v>2067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 ht="12.5">
      <c r="B68" s="7" t="str">
        <f t="shared" si="8"/>
        <v/>
      </c>
      <c r="C68" s="50">
        <f>IF(D11="","-",+C67+1)</f>
        <v>2068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 ht="12.5">
      <c r="B69" s="7" t="str">
        <f t="shared" si="8"/>
        <v/>
      </c>
      <c r="C69" s="50">
        <f>IF(D11="","-",+C68+1)</f>
        <v>2069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 ht="12.5">
      <c r="B70" s="7" t="str">
        <f t="shared" si="8"/>
        <v/>
      </c>
      <c r="C70" s="50">
        <f>IF(D11="","-",+C69+1)</f>
        <v>2070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 ht="12.5">
      <c r="B71" s="7" t="str">
        <f t="shared" si="8"/>
        <v/>
      </c>
      <c r="C71" s="50">
        <f>IF(D11="","-",+C70+1)</f>
        <v>2071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8"/>
        <v/>
      </c>
      <c r="C72" s="58">
        <f>IF(D11="","-",+C71+1)</f>
        <v>2072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 ht="12.5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k  of -1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inset project name here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>
        <f>+D9</f>
        <v>0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f>IF(D11=I10,0,D10)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286</v>
      </c>
      <c r="I97" s="118" t="s">
        <v>287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2015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9">IF(L99&lt;&gt;0,+H99-L99,0)</f>
        <v>0</v>
      </c>
      <c r="N99" s="114"/>
      <c r="O99" s="53">
        <f t="shared" ref="O99:O130" si="10">IF(N99&lt;&gt;0,+I99-N99,0)</f>
        <v>0</v>
      </c>
      <c r="P99" s="53">
        <f t="shared" ref="P99:P130" si="11">+O99-M99</f>
        <v>0</v>
      </c>
    </row>
    <row r="100" spans="1:16" ht="12.5">
      <c r="B100" s="7" t="str">
        <f>IF(D100=F99,"","IU")</f>
        <v/>
      </c>
      <c r="C100" s="50">
        <f>IF(D93="","-",+C99+1)</f>
        <v>2016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2">+J$94*G100+E100</f>
        <v>0</v>
      </c>
      <c r="I100" s="122">
        <f t="shared" ref="I100:I154" si="13">+J$95*G100+E100</f>
        <v>0</v>
      </c>
      <c r="J100" s="54">
        <f t="shared" ref="J100:J130" si="14">+I100-H100</f>
        <v>0</v>
      </c>
      <c r="K100" s="54"/>
      <c r="L100" s="115"/>
      <c r="M100" s="54">
        <f t="shared" si="9"/>
        <v>0</v>
      </c>
      <c r="N100" s="115"/>
      <c r="O100" s="54">
        <f t="shared" si="10"/>
        <v>0</v>
      </c>
      <c r="P100" s="54">
        <f t="shared" si="11"/>
        <v>0</v>
      </c>
    </row>
    <row r="101" spans="1:16" ht="12.5">
      <c r="B101" s="7" t="str">
        <f t="shared" ref="B101:B154" si="15">IF(D101=F100,"","IU")</f>
        <v/>
      </c>
      <c r="C101" s="50">
        <f>IF(D93="","-",+C100+1)</f>
        <v>2017</v>
      </c>
      <c r="D101" s="12">
        <f>IF(F100+SUM(E$99:E100)=D$92,F100,D$92-SUM(E$99:E100))</f>
        <v>0</v>
      </c>
      <c r="E101" s="56">
        <f t="shared" ref="E101:E154" si="16">IF(+J$96&lt;F100,J$96,D101)</f>
        <v>0</v>
      </c>
      <c r="F101" s="55">
        <f t="shared" ref="F101:F154" si="17">+D101-E101</f>
        <v>0</v>
      </c>
      <c r="G101" s="55">
        <f t="shared" ref="G101:G154" si="18">+(F101+D101)/2</f>
        <v>0</v>
      </c>
      <c r="H101" s="113">
        <f t="shared" si="12"/>
        <v>0</v>
      </c>
      <c r="I101" s="122">
        <f t="shared" si="13"/>
        <v>0</v>
      </c>
      <c r="J101" s="54">
        <f t="shared" si="14"/>
        <v>0</v>
      </c>
      <c r="K101" s="54"/>
      <c r="L101" s="115"/>
      <c r="M101" s="54">
        <f t="shared" si="9"/>
        <v>0</v>
      </c>
      <c r="N101" s="115"/>
      <c r="O101" s="54">
        <f t="shared" si="10"/>
        <v>0</v>
      </c>
      <c r="P101" s="54">
        <f t="shared" si="11"/>
        <v>0</v>
      </c>
    </row>
    <row r="102" spans="1:16" ht="12.5">
      <c r="B102" s="7" t="str">
        <f t="shared" si="15"/>
        <v/>
      </c>
      <c r="C102" s="50">
        <f>IF(D93="","-",+C101+1)</f>
        <v>2018</v>
      </c>
      <c r="D102" s="12">
        <f>IF(F101+SUM(E$99:E101)=D$92,F101,D$92-SUM(E$99:E101))</f>
        <v>0</v>
      </c>
      <c r="E102" s="56">
        <f t="shared" si="16"/>
        <v>0</v>
      </c>
      <c r="F102" s="55">
        <f t="shared" si="17"/>
        <v>0</v>
      </c>
      <c r="G102" s="55">
        <f t="shared" si="18"/>
        <v>0</v>
      </c>
      <c r="H102" s="113">
        <f t="shared" si="12"/>
        <v>0</v>
      </c>
      <c r="I102" s="122">
        <f t="shared" si="13"/>
        <v>0</v>
      </c>
      <c r="J102" s="54">
        <f t="shared" si="14"/>
        <v>0</v>
      </c>
      <c r="K102" s="54"/>
      <c r="L102" s="115"/>
      <c r="M102" s="54">
        <f t="shared" si="9"/>
        <v>0</v>
      </c>
      <c r="N102" s="115"/>
      <c r="O102" s="54">
        <f t="shared" si="10"/>
        <v>0</v>
      </c>
      <c r="P102" s="54">
        <f t="shared" si="11"/>
        <v>0</v>
      </c>
    </row>
    <row r="103" spans="1:16" ht="12.5">
      <c r="B103" s="7" t="str">
        <f t="shared" si="15"/>
        <v/>
      </c>
      <c r="C103" s="50">
        <f>IF(D93="","-",+C102+1)</f>
        <v>2019</v>
      </c>
      <c r="D103" s="12">
        <f>IF(F102+SUM(E$99:E102)=D$92,F102,D$92-SUM(E$99:E102))</f>
        <v>0</v>
      </c>
      <c r="E103" s="56">
        <f t="shared" si="16"/>
        <v>0</v>
      </c>
      <c r="F103" s="55">
        <f t="shared" si="17"/>
        <v>0</v>
      </c>
      <c r="G103" s="55">
        <f t="shared" si="18"/>
        <v>0</v>
      </c>
      <c r="H103" s="113">
        <f t="shared" si="12"/>
        <v>0</v>
      </c>
      <c r="I103" s="122">
        <f t="shared" si="13"/>
        <v>0</v>
      </c>
      <c r="J103" s="54">
        <f t="shared" si="14"/>
        <v>0</v>
      </c>
      <c r="K103" s="54"/>
      <c r="L103" s="115"/>
      <c r="M103" s="54">
        <f t="shared" si="9"/>
        <v>0</v>
      </c>
      <c r="N103" s="115"/>
      <c r="O103" s="54">
        <f t="shared" si="10"/>
        <v>0</v>
      </c>
      <c r="P103" s="54">
        <f t="shared" si="11"/>
        <v>0</v>
      </c>
    </row>
    <row r="104" spans="1:16" ht="12.5">
      <c r="B104" s="7" t="str">
        <f t="shared" si="15"/>
        <v/>
      </c>
      <c r="C104" s="50">
        <f>IF(D93="","-",+C103+1)</f>
        <v>2020</v>
      </c>
      <c r="D104" s="12">
        <f>IF(F103+SUM(E$99:E103)=D$92,F103,D$92-SUM(E$99:E103))</f>
        <v>0</v>
      </c>
      <c r="E104" s="56">
        <f t="shared" si="16"/>
        <v>0</v>
      </c>
      <c r="F104" s="55">
        <f t="shared" si="17"/>
        <v>0</v>
      </c>
      <c r="G104" s="55">
        <f t="shared" si="18"/>
        <v>0</v>
      </c>
      <c r="H104" s="113">
        <f t="shared" si="12"/>
        <v>0</v>
      </c>
      <c r="I104" s="122">
        <f t="shared" si="13"/>
        <v>0</v>
      </c>
      <c r="J104" s="54">
        <f t="shared" si="14"/>
        <v>0</v>
      </c>
      <c r="K104" s="54"/>
      <c r="L104" s="115"/>
      <c r="M104" s="54">
        <f t="shared" si="9"/>
        <v>0</v>
      </c>
      <c r="N104" s="115"/>
      <c r="O104" s="54">
        <f t="shared" si="10"/>
        <v>0</v>
      </c>
      <c r="P104" s="54">
        <f t="shared" si="11"/>
        <v>0</v>
      </c>
    </row>
    <row r="105" spans="1:16" ht="12.5">
      <c r="B105" s="7" t="str">
        <f t="shared" si="15"/>
        <v/>
      </c>
      <c r="C105" s="50">
        <f>IF(D93="","-",+C104+1)</f>
        <v>2021</v>
      </c>
      <c r="D105" s="12">
        <f>IF(F104+SUM(E$99:E104)=D$92,F104,D$92-SUM(E$99:E104))</f>
        <v>0</v>
      </c>
      <c r="E105" s="56">
        <f t="shared" si="16"/>
        <v>0</v>
      </c>
      <c r="F105" s="55">
        <f t="shared" si="17"/>
        <v>0</v>
      </c>
      <c r="G105" s="55">
        <f t="shared" si="18"/>
        <v>0</v>
      </c>
      <c r="H105" s="113">
        <f t="shared" si="12"/>
        <v>0</v>
      </c>
      <c r="I105" s="122">
        <f t="shared" si="13"/>
        <v>0</v>
      </c>
      <c r="J105" s="54">
        <f t="shared" si="14"/>
        <v>0</v>
      </c>
      <c r="K105" s="54"/>
      <c r="L105" s="115"/>
      <c r="M105" s="54">
        <f t="shared" si="9"/>
        <v>0</v>
      </c>
      <c r="N105" s="115"/>
      <c r="O105" s="54">
        <f t="shared" si="10"/>
        <v>0</v>
      </c>
      <c r="P105" s="54">
        <f t="shared" si="11"/>
        <v>0</v>
      </c>
    </row>
    <row r="106" spans="1:16" ht="12.5">
      <c r="B106" s="7" t="str">
        <f t="shared" si="15"/>
        <v/>
      </c>
      <c r="C106" s="50">
        <f>IF(D93="","-",+C105+1)</f>
        <v>2022</v>
      </c>
      <c r="D106" s="12">
        <f>IF(F105+SUM(E$99:E105)=D$92,F105,D$92-SUM(E$99:E105))</f>
        <v>0</v>
      </c>
      <c r="E106" s="56">
        <f t="shared" si="16"/>
        <v>0</v>
      </c>
      <c r="F106" s="55">
        <f t="shared" si="17"/>
        <v>0</v>
      </c>
      <c r="G106" s="55">
        <f t="shared" si="18"/>
        <v>0</v>
      </c>
      <c r="H106" s="113">
        <f t="shared" si="12"/>
        <v>0</v>
      </c>
      <c r="I106" s="122">
        <f t="shared" si="13"/>
        <v>0</v>
      </c>
      <c r="J106" s="54">
        <f t="shared" si="14"/>
        <v>0</v>
      </c>
      <c r="K106" s="54"/>
      <c r="L106" s="115"/>
      <c r="M106" s="54">
        <f t="shared" si="9"/>
        <v>0</v>
      </c>
      <c r="N106" s="115"/>
      <c r="O106" s="54">
        <f t="shared" si="10"/>
        <v>0</v>
      </c>
      <c r="P106" s="54">
        <f t="shared" si="11"/>
        <v>0</v>
      </c>
    </row>
    <row r="107" spans="1:16" ht="12.5">
      <c r="B107" s="7" t="str">
        <f t="shared" si="15"/>
        <v/>
      </c>
      <c r="C107" s="50">
        <f>IF(D93="","-",+C106+1)</f>
        <v>2023</v>
      </c>
      <c r="D107" s="12">
        <f>IF(F106+SUM(E$99:E106)=D$92,F106,D$92-SUM(E$99:E106))</f>
        <v>0</v>
      </c>
      <c r="E107" s="56">
        <f t="shared" si="16"/>
        <v>0</v>
      </c>
      <c r="F107" s="55">
        <f t="shared" si="17"/>
        <v>0</v>
      </c>
      <c r="G107" s="55">
        <f t="shared" si="18"/>
        <v>0</v>
      </c>
      <c r="H107" s="113">
        <f t="shared" si="12"/>
        <v>0</v>
      </c>
      <c r="I107" s="122">
        <f t="shared" si="13"/>
        <v>0</v>
      </c>
      <c r="J107" s="54">
        <f t="shared" si="14"/>
        <v>0</v>
      </c>
      <c r="K107" s="54"/>
      <c r="L107" s="115"/>
      <c r="M107" s="54">
        <f t="shared" si="9"/>
        <v>0</v>
      </c>
      <c r="N107" s="115"/>
      <c r="O107" s="54">
        <f t="shared" si="10"/>
        <v>0</v>
      </c>
      <c r="P107" s="54">
        <f t="shared" si="11"/>
        <v>0</v>
      </c>
    </row>
    <row r="108" spans="1:16" ht="12.5">
      <c r="B108" s="7" t="str">
        <f t="shared" si="15"/>
        <v/>
      </c>
      <c r="C108" s="50">
        <f>IF(D93="","-",+C107+1)</f>
        <v>2024</v>
      </c>
      <c r="D108" s="12">
        <f>IF(F107+SUM(E$99:E107)=D$92,F107,D$92-SUM(E$99:E107))</f>
        <v>0</v>
      </c>
      <c r="E108" s="56">
        <f t="shared" si="16"/>
        <v>0</v>
      </c>
      <c r="F108" s="55">
        <f t="shared" si="17"/>
        <v>0</v>
      </c>
      <c r="G108" s="55">
        <f t="shared" si="18"/>
        <v>0</v>
      </c>
      <c r="H108" s="113">
        <f t="shared" si="12"/>
        <v>0</v>
      </c>
      <c r="I108" s="122">
        <f t="shared" si="13"/>
        <v>0</v>
      </c>
      <c r="J108" s="54">
        <f t="shared" si="14"/>
        <v>0</v>
      </c>
      <c r="K108" s="54"/>
      <c r="L108" s="115"/>
      <c r="M108" s="54">
        <f t="shared" si="9"/>
        <v>0</v>
      </c>
      <c r="N108" s="115"/>
      <c r="O108" s="54">
        <f t="shared" si="10"/>
        <v>0</v>
      </c>
      <c r="P108" s="54">
        <f t="shared" si="11"/>
        <v>0</v>
      </c>
    </row>
    <row r="109" spans="1:16" ht="12.5">
      <c r="B109" s="7" t="str">
        <f t="shared" si="15"/>
        <v/>
      </c>
      <c r="C109" s="50">
        <f>IF(D93="","-",+C108+1)</f>
        <v>2025</v>
      </c>
      <c r="D109" s="12">
        <f>IF(F108+SUM(E$99:E108)=D$92,F108,D$92-SUM(E$99:E108))</f>
        <v>0</v>
      </c>
      <c r="E109" s="56">
        <f t="shared" si="16"/>
        <v>0</v>
      </c>
      <c r="F109" s="55">
        <f t="shared" si="17"/>
        <v>0</v>
      </c>
      <c r="G109" s="55">
        <f t="shared" si="18"/>
        <v>0</v>
      </c>
      <c r="H109" s="113">
        <f t="shared" si="12"/>
        <v>0</v>
      </c>
      <c r="I109" s="122">
        <f t="shared" si="13"/>
        <v>0</v>
      </c>
      <c r="J109" s="54">
        <f t="shared" si="14"/>
        <v>0</v>
      </c>
      <c r="K109" s="54"/>
      <c r="L109" s="115"/>
      <c r="M109" s="54">
        <f t="shared" si="9"/>
        <v>0</v>
      </c>
      <c r="N109" s="115"/>
      <c r="O109" s="54">
        <f t="shared" si="10"/>
        <v>0</v>
      </c>
      <c r="P109" s="54">
        <f t="shared" si="11"/>
        <v>0</v>
      </c>
    </row>
    <row r="110" spans="1:16" ht="12.5">
      <c r="B110" s="7" t="str">
        <f t="shared" si="15"/>
        <v/>
      </c>
      <c r="C110" s="50">
        <f>IF(D93="","-",+C109+1)</f>
        <v>2026</v>
      </c>
      <c r="D110" s="12">
        <f>IF(F109+SUM(E$99:E109)=D$92,F109,D$92-SUM(E$99:E109))</f>
        <v>0</v>
      </c>
      <c r="E110" s="56">
        <f t="shared" si="16"/>
        <v>0</v>
      </c>
      <c r="F110" s="55">
        <f t="shared" si="17"/>
        <v>0</v>
      </c>
      <c r="G110" s="55">
        <f t="shared" si="18"/>
        <v>0</v>
      </c>
      <c r="H110" s="113">
        <f t="shared" si="12"/>
        <v>0</v>
      </c>
      <c r="I110" s="122">
        <f t="shared" si="13"/>
        <v>0</v>
      </c>
      <c r="J110" s="54">
        <f t="shared" si="14"/>
        <v>0</v>
      </c>
      <c r="K110" s="54"/>
      <c r="L110" s="115"/>
      <c r="M110" s="54">
        <f t="shared" si="9"/>
        <v>0</v>
      </c>
      <c r="N110" s="115"/>
      <c r="O110" s="54">
        <f t="shared" si="10"/>
        <v>0</v>
      </c>
      <c r="P110" s="54">
        <f t="shared" si="11"/>
        <v>0</v>
      </c>
    </row>
    <row r="111" spans="1:16" ht="12.5">
      <c r="B111" s="7" t="str">
        <f t="shared" si="15"/>
        <v/>
      </c>
      <c r="C111" s="50">
        <f>IF(D93="","-",+C110+1)</f>
        <v>2027</v>
      </c>
      <c r="D111" s="12">
        <f>IF(F110+SUM(E$99:E110)=D$92,F110,D$92-SUM(E$99:E110))</f>
        <v>0</v>
      </c>
      <c r="E111" s="56">
        <f t="shared" si="16"/>
        <v>0</v>
      </c>
      <c r="F111" s="55">
        <f t="shared" si="17"/>
        <v>0</v>
      </c>
      <c r="G111" s="55">
        <f t="shared" si="18"/>
        <v>0</v>
      </c>
      <c r="H111" s="113">
        <f t="shared" si="12"/>
        <v>0</v>
      </c>
      <c r="I111" s="122">
        <f t="shared" si="13"/>
        <v>0</v>
      </c>
      <c r="J111" s="54">
        <f t="shared" si="14"/>
        <v>0</v>
      </c>
      <c r="K111" s="54"/>
      <c r="L111" s="115"/>
      <c r="M111" s="54">
        <f t="shared" si="9"/>
        <v>0</v>
      </c>
      <c r="N111" s="115"/>
      <c r="O111" s="54">
        <f t="shared" si="10"/>
        <v>0</v>
      </c>
      <c r="P111" s="54">
        <f t="shared" si="11"/>
        <v>0</v>
      </c>
    </row>
    <row r="112" spans="1:16" ht="12.5">
      <c r="B112" s="7" t="str">
        <f t="shared" si="15"/>
        <v/>
      </c>
      <c r="C112" s="50">
        <f>IF(D93="","-",+C111+1)</f>
        <v>2028</v>
      </c>
      <c r="D112" s="12">
        <f>IF(F111+SUM(E$99:E111)=D$92,F111,D$92-SUM(E$99:E111))</f>
        <v>0</v>
      </c>
      <c r="E112" s="56">
        <f t="shared" si="16"/>
        <v>0</v>
      </c>
      <c r="F112" s="55">
        <f t="shared" si="17"/>
        <v>0</v>
      </c>
      <c r="G112" s="55">
        <f t="shared" si="18"/>
        <v>0</v>
      </c>
      <c r="H112" s="113">
        <f t="shared" si="12"/>
        <v>0</v>
      </c>
      <c r="I112" s="122">
        <f t="shared" si="13"/>
        <v>0</v>
      </c>
      <c r="J112" s="54">
        <f t="shared" si="14"/>
        <v>0</v>
      </c>
      <c r="K112" s="54"/>
      <c r="L112" s="115"/>
      <c r="M112" s="54">
        <f t="shared" si="9"/>
        <v>0</v>
      </c>
      <c r="N112" s="115"/>
      <c r="O112" s="54">
        <f t="shared" si="10"/>
        <v>0</v>
      </c>
      <c r="P112" s="54">
        <f t="shared" si="11"/>
        <v>0</v>
      </c>
    </row>
    <row r="113" spans="2:16" ht="12.5">
      <c r="B113" s="7" t="str">
        <f t="shared" si="15"/>
        <v/>
      </c>
      <c r="C113" s="50">
        <f>IF(D93="","-",+C112+1)</f>
        <v>2029</v>
      </c>
      <c r="D113" s="12">
        <f>IF(F112+SUM(E$99:E112)=D$92,F112,D$92-SUM(E$99:E112))</f>
        <v>0</v>
      </c>
      <c r="E113" s="56">
        <f t="shared" si="16"/>
        <v>0</v>
      </c>
      <c r="F113" s="55">
        <f t="shared" si="17"/>
        <v>0</v>
      </c>
      <c r="G113" s="55">
        <f t="shared" si="18"/>
        <v>0</v>
      </c>
      <c r="H113" s="113">
        <f t="shared" si="12"/>
        <v>0</v>
      </c>
      <c r="I113" s="122">
        <f t="shared" si="13"/>
        <v>0</v>
      </c>
      <c r="J113" s="54">
        <f t="shared" si="14"/>
        <v>0</v>
      </c>
      <c r="K113" s="54"/>
      <c r="L113" s="115"/>
      <c r="M113" s="54">
        <f t="shared" si="9"/>
        <v>0</v>
      </c>
      <c r="N113" s="115"/>
      <c r="O113" s="54">
        <f t="shared" si="10"/>
        <v>0</v>
      </c>
      <c r="P113" s="54">
        <f t="shared" si="11"/>
        <v>0</v>
      </c>
    </row>
    <row r="114" spans="2:16" ht="12.5">
      <c r="B114" s="7" t="str">
        <f t="shared" si="15"/>
        <v/>
      </c>
      <c r="C114" s="50">
        <f>IF(D93="","-",+C113+1)</f>
        <v>2030</v>
      </c>
      <c r="D114" s="12">
        <f>IF(F113+SUM(E$99:E113)=D$92,F113,D$92-SUM(E$99:E113))</f>
        <v>0</v>
      </c>
      <c r="E114" s="56">
        <f t="shared" si="16"/>
        <v>0</v>
      </c>
      <c r="F114" s="55">
        <f t="shared" si="17"/>
        <v>0</v>
      </c>
      <c r="G114" s="55">
        <f t="shared" si="18"/>
        <v>0</v>
      </c>
      <c r="H114" s="113">
        <f t="shared" si="12"/>
        <v>0</v>
      </c>
      <c r="I114" s="122">
        <f t="shared" si="13"/>
        <v>0</v>
      </c>
      <c r="J114" s="54">
        <f t="shared" si="14"/>
        <v>0</v>
      </c>
      <c r="K114" s="54"/>
      <c r="L114" s="115"/>
      <c r="M114" s="54">
        <f t="shared" si="9"/>
        <v>0</v>
      </c>
      <c r="N114" s="115"/>
      <c r="O114" s="54">
        <f t="shared" si="10"/>
        <v>0</v>
      </c>
      <c r="P114" s="54">
        <f t="shared" si="11"/>
        <v>0</v>
      </c>
    </row>
    <row r="115" spans="2:16" ht="12.5">
      <c r="B115" s="7" t="str">
        <f t="shared" si="15"/>
        <v/>
      </c>
      <c r="C115" s="50">
        <f>IF(D93="","-",+C114+1)</f>
        <v>2031</v>
      </c>
      <c r="D115" s="12">
        <f>IF(F114+SUM(E$99:E114)=D$92,F114,D$92-SUM(E$99:E114))</f>
        <v>0</v>
      </c>
      <c r="E115" s="56">
        <f t="shared" si="16"/>
        <v>0</v>
      </c>
      <c r="F115" s="55">
        <f t="shared" si="17"/>
        <v>0</v>
      </c>
      <c r="G115" s="55">
        <f t="shared" si="18"/>
        <v>0</v>
      </c>
      <c r="H115" s="113">
        <f t="shared" si="12"/>
        <v>0</v>
      </c>
      <c r="I115" s="122">
        <f t="shared" si="13"/>
        <v>0</v>
      </c>
      <c r="J115" s="54">
        <f t="shared" si="14"/>
        <v>0</v>
      </c>
      <c r="K115" s="54"/>
      <c r="L115" s="115"/>
      <c r="M115" s="54">
        <f t="shared" si="9"/>
        <v>0</v>
      </c>
      <c r="N115" s="115"/>
      <c r="O115" s="54">
        <f t="shared" si="10"/>
        <v>0</v>
      </c>
      <c r="P115" s="54">
        <f t="shared" si="11"/>
        <v>0</v>
      </c>
    </row>
    <row r="116" spans="2:16" ht="12.5">
      <c r="B116" s="7" t="str">
        <f t="shared" si="15"/>
        <v/>
      </c>
      <c r="C116" s="50">
        <f>IF(D93="","-",+C115+1)</f>
        <v>2032</v>
      </c>
      <c r="D116" s="12">
        <f>IF(F115+SUM(E$99:E115)=D$92,F115,D$92-SUM(E$99:E115))</f>
        <v>0</v>
      </c>
      <c r="E116" s="56">
        <f t="shared" si="16"/>
        <v>0</v>
      </c>
      <c r="F116" s="55">
        <f t="shared" si="17"/>
        <v>0</v>
      </c>
      <c r="G116" s="55">
        <f t="shared" si="18"/>
        <v>0</v>
      </c>
      <c r="H116" s="113">
        <f t="shared" si="12"/>
        <v>0</v>
      </c>
      <c r="I116" s="122">
        <f t="shared" si="13"/>
        <v>0</v>
      </c>
      <c r="J116" s="54">
        <f t="shared" si="14"/>
        <v>0</v>
      </c>
      <c r="K116" s="54"/>
      <c r="L116" s="115"/>
      <c r="M116" s="54">
        <f t="shared" si="9"/>
        <v>0</v>
      </c>
      <c r="N116" s="115"/>
      <c r="O116" s="54">
        <f t="shared" si="10"/>
        <v>0</v>
      </c>
      <c r="P116" s="54">
        <f t="shared" si="11"/>
        <v>0</v>
      </c>
    </row>
    <row r="117" spans="2:16" ht="12.5">
      <c r="B117" s="7" t="str">
        <f t="shared" si="15"/>
        <v/>
      </c>
      <c r="C117" s="50">
        <f>IF(D93="","-",+C116+1)</f>
        <v>2033</v>
      </c>
      <c r="D117" s="12">
        <f>IF(F116+SUM(E$99:E116)=D$92,F116,D$92-SUM(E$99:E116))</f>
        <v>0</v>
      </c>
      <c r="E117" s="56">
        <f t="shared" si="16"/>
        <v>0</v>
      </c>
      <c r="F117" s="55">
        <f t="shared" si="17"/>
        <v>0</v>
      </c>
      <c r="G117" s="55">
        <f t="shared" si="18"/>
        <v>0</v>
      </c>
      <c r="H117" s="113">
        <f t="shared" si="12"/>
        <v>0</v>
      </c>
      <c r="I117" s="122">
        <f t="shared" si="13"/>
        <v>0</v>
      </c>
      <c r="J117" s="54">
        <f t="shared" si="14"/>
        <v>0</v>
      </c>
      <c r="K117" s="54"/>
      <c r="L117" s="115"/>
      <c r="M117" s="54">
        <f t="shared" si="9"/>
        <v>0</v>
      </c>
      <c r="N117" s="115"/>
      <c r="O117" s="54">
        <f t="shared" si="10"/>
        <v>0</v>
      </c>
      <c r="P117" s="54">
        <f t="shared" si="11"/>
        <v>0</v>
      </c>
    </row>
    <row r="118" spans="2:16" ht="12.5">
      <c r="B118" s="7" t="str">
        <f t="shared" si="15"/>
        <v/>
      </c>
      <c r="C118" s="50">
        <f>IF(D93="","-",+C117+1)</f>
        <v>2034</v>
      </c>
      <c r="D118" s="12">
        <f>IF(F117+SUM(E$99:E117)=D$92,F117,D$92-SUM(E$99:E117))</f>
        <v>0</v>
      </c>
      <c r="E118" s="56">
        <f t="shared" si="16"/>
        <v>0</v>
      </c>
      <c r="F118" s="55">
        <f t="shared" si="17"/>
        <v>0</v>
      </c>
      <c r="G118" s="55">
        <f t="shared" si="18"/>
        <v>0</v>
      </c>
      <c r="H118" s="113">
        <f t="shared" si="12"/>
        <v>0</v>
      </c>
      <c r="I118" s="122">
        <f t="shared" si="13"/>
        <v>0</v>
      </c>
      <c r="J118" s="54">
        <f t="shared" si="14"/>
        <v>0</v>
      </c>
      <c r="K118" s="54"/>
      <c r="L118" s="115"/>
      <c r="M118" s="54">
        <f t="shared" si="9"/>
        <v>0</v>
      </c>
      <c r="N118" s="115"/>
      <c r="O118" s="54">
        <f t="shared" si="10"/>
        <v>0</v>
      </c>
      <c r="P118" s="54">
        <f t="shared" si="11"/>
        <v>0</v>
      </c>
    </row>
    <row r="119" spans="2:16" ht="12.5">
      <c r="B119" s="7" t="str">
        <f t="shared" si="15"/>
        <v/>
      </c>
      <c r="C119" s="50">
        <f>IF(D93="","-",+C118+1)</f>
        <v>2035</v>
      </c>
      <c r="D119" s="12">
        <f>IF(F118+SUM(E$99:E118)=D$92,F118,D$92-SUM(E$99:E118))</f>
        <v>0</v>
      </c>
      <c r="E119" s="56">
        <f t="shared" si="16"/>
        <v>0</v>
      </c>
      <c r="F119" s="55">
        <f t="shared" si="17"/>
        <v>0</v>
      </c>
      <c r="G119" s="55">
        <f t="shared" si="18"/>
        <v>0</v>
      </c>
      <c r="H119" s="113">
        <f t="shared" si="12"/>
        <v>0</v>
      </c>
      <c r="I119" s="122">
        <f t="shared" si="13"/>
        <v>0</v>
      </c>
      <c r="J119" s="54">
        <f t="shared" si="14"/>
        <v>0</v>
      </c>
      <c r="K119" s="54"/>
      <c r="L119" s="115"/>
      <c r="M119" s="54">
        <f t="shared" si="9"/>
        <v>0</v>
      </c>
      <c r="N119" s="115"/>
      <c r="O119" s="54">
        <f t="shared" si="10"/>
        <v>0</v>
      </c>
      <c r="P119" s="54">
        <f t="shared" si="11"/>
        <v>0</v>
      </c>
    </row>
    <row r="120" spans="2:16" ht="12.5">
      <c r="B120" s="7" t="str">
        <f t="shared" si="15"/>
        <v/>
      </c>
      <c r="C120" s="50">
        <f>IF(D93="","-",+C119+1)</f>
        <v>2036</v>
      </c>
      <c r="D120" s="12">
        <f>IF(F119+SUM(E$99:E119)=D$92,F119,D$92-SUM(E$99:E119))</f>
        <v>0</v>
      </c>
      <c r="E120" s="56">
        <f t="shared" si="16"/>
        <v>0</v>
      </c>
      <c r="F120" s="55">
        <f t="shared" si="17"/>
        <v>0</v>
      </c>
      <c r="G120" s="55">
        <f t="shared" si="18"/>
        <v>0</v>
      </c>
      <c r="H120" s="113">
        <f t="shared" si="12"/>
        <v>0</v>
      </c>
      <c r="I120" s="122">
        <f t="shared" si="13"/>
        <v>0</v>
      </c>
      <c r="J120" s="54">
        <f t="shared" si="14"/>
        <v>0</v>
      </c>
      <c r="K120" s="54"/>
      <c r="L120" s="115"/>
      <c r="M120" s="54">
        <f t="shared" si="9"/>
        <v>0</v>
      </c>
      <c r="N120" s="115"/>
      <c r="O120" s="54">
        <f t="shared" si="10"/>
        <v>0</v>
      </c>
      <c r="P120" s="54">
        <f t="shared" si="11"/>
        <v>0</v>
      </c>
    </row>
    <row r="121" spans="2:16" ht="12.5">
      <c r="B121" s="7" t="str">
        <f t="shared" si="15"/>
        <v/>
      </c>
      <c r="C121" s="50">
        <f>IF(D93="","-",+C120+1)</f>
        <v>2037</v>
      </c>
      <c r="D121" s="12">
        <f>IF(F120+SUM(E$99:E120)=D$92,F120,D$92-SUM(E$99:E120))</f>
        <v>0</v>
      </c>
      <c r="E121" s="56">
        <f t="shared" si="16"/>
        <v>0</v>
      </c>
      <c r="F121" s="55">
        <f t="shared" si="17"/>
        <v>0</v>
      </c>
      <c r="G121" s="55">
        <f t="shared" si="18"/>
        <v>0</v>
      </c>
      <c r="H121" s="113">
        <f t="shared" si="12"/>
        <v>0</v>
      </c>
      <c r="I121" s="122">
        <f t="shared" si="13"/>
        <v>0</v>
      </c>
      <c r="J121" s="54">
        <f t="shared" si="14"/>
        <v>0</v>
      </c>
      <c r="K121" s="54"/>
      <c r="L121" s="115"/>
      <c r="M121" s="54">
        <f t="shared" si="9"/>
        <v>0</v>
      </c>
      <c r="N121" s="115"/>
      <c r="O121" s="54">
        <f t="shared" si="10"/>
        <v>0</v>
      </c>
      <c r="P121" s="54">
        <f t="shared" si="11"/>
        <v>0</v>
      </c>
    </row>
    <row r="122" spans="2:16" ht="12.5">
      <c r="B122" s="7" t="str">
        <f t="shared" si="15"/>
        <v/>
      </c>
      <c r="C122" s="50">
        <f>IF(D93="","-",+C121+1)</f>
        <v>2038</v>
      </c>
      <c r="D122" s="12">
        <f>IF(F121+SUM(E$99:E121)=D$92,F121,D$92-SUM(E$99:E121))</f>
        <v>0</v>
      </c>
      <c r="E122" s="56">
        <f t="shared" si="16"/>
        <v>0</v>
      </c>
      <c r="F122" s="55">
        <f t="shared" si="17"/>
        <v>0</v>
      </c>
      <c r="G122" s="55">
        <f t="shared" si="18"/>
        <v>0</v>
      </c>
      <c r="H122" s="113">
        <f t="shared" si="12"/>
        <v>0</v>
      </c>
      <c r="I122" s="122">
        <f t="shared" si="13"/>
        <v>0</v>
      </c>
      <c r="J122" s="54">
        <f t="shared" si="14"/>
        <v>0</v>
      </c>
      <c r="K122" s="54"/>
      <c r="L122" s="115"/>
      <c r="M122" s="54">
        <f t="shared" si="9"/>
        <v>0</v>
      </c>
      <c r="N122" s="115"/>
      <c r="O122" s="54">
        <f t="shared" si="10"/>
        <v>0</v>
      </c>
      <c r="P122" s="54">
        <f t="shared" si="11"/>
        <v>0</v>
      </c>
    </row>
    <row r="123" spans="2:16" ht="12.5">
      <c r="B123" s="7" t="str">
        <f t="shared" si="15"/>
        <v/>
      </c>
      <c r="C123" s="50">
        <f>IF(D93="","-",+C122+1)</f>
        <v>2039</v>
      </c>
      <c r="D123" s="12">
        <f>IF(F122+SUM(E$99:E122)=D$92,F122,D$92-SUM(E$99:E122))</f>
        <v>0</v>
      </c>
      <c r="E123" s="56">
        <f t="shared" si="16"/>
        <v>0</v>
      </c>
      <c r="F123" s="55">
        <f t="shared" si="17"/>
        <v>0</v>
      </c>
      <c r="G123" s="55">
        <f t="shared" si="18"/>
        <v>0</v>
      </c>
      <c r="H123" s="113">
        <f t="shared" si="12"/>
        <v>0</v>
      </c>
      <c r="I123" s="122">
        <f t="shared" si="13"/>
        <v>0</v>
      </c>
      <c r="J123" s="54">
        <f t="shared" si="14"/>
        <v>0</v>
      </c>
      <c r="K123" s="54"/>
      <c r="L123" s="115"/>
      <c r="M123" s="54">
        <f t="shared" si="9"/>
        <v>0</v>
      </c>
      <c r="N123" s="115"/>
      <c r="O123" s="54">
        <f t="shared" si="10"/>
        <v>0</v>
      </c>
      <c r="P123" s="54">
        <f t="shared" si="11"/>
        <v>0</v>
      </c>
    </row>
    <row r="124" spans="2:16" ht="12.5">
      <c r="B124" s="7" t="str">
        <f t="shared" si="15"/>
        <v/>
      </c>
      <c r="C124" s="50">
        <f>IF(D93="","-",+C123+1)</f>
        <v>2040</v>
      </c>
      <c r="D124" s="12">
        <f>IF(F123+SUM(E$99:E123)=D$92,F123,D$92-SUM(E$99:E123))</f>
        <v>0</v>
      </c>
      <c r="E124" s="56">
        <f t="shared" si="16"/>
        <v>0</v>
      </c>
      <c r="F124" s="55">
        <f t="shared" si="17"/>
        <v>0</v>
      </c>
      <c r="G124" s="55">
        <f t="shared" si="18"/>
        <v>0</v>
      </c>
      <c r="H124" s="113">
        <f t="shared" si="12"/>
        <v>0</v>
      </c>
      <c r="I124" s="122">
        <f t="shared" si="13"/>
        <v>0</v>
      </c>
      <c r="J124" s="54">
        <f t="shared" si="14"/>
        <v>0</v>
      </c>
      <c r="K124" s="54"/>
      <c r="L124" s="115"/>
      <c r="M124" s="54">
        <f t="shared" si="9"/>
        <v>0</v>
      </c>
      <c r="N124" s="115"/>
      <c r="O124" s="54">
        <f t="shared" si="10"/>
        <v>0</v>
      </c>
      <c r="P124" s="54">
        <f t="shared" si="11"/>
        <v>0</v>
      </c>
    </row>
    <row r="125" spans="2:16" ht="12.5">
      <c r="B125" s="7" t="str">
        <f t="shared" si="15"/>
        <v/>
      </c>
      <c r="C125" s="50">
        <f>IF(D93="","-",+C124+1)</f>
        <v>2041</v>
      </c>
      <c r="D125" s="12">
        <f>IF(F124+SUM(E$99:E124)=D$92,F124,D$92-SUM(E$99:E124))</f>
        <v>0</v>
      </c>
      <c r="E125" s="56">
        <f t="shared" si="16"/>
        <v>0</v>
      </c>
      <c r="F125" s="55">
        <f t="shared" si="17"/>
        <v>0</v>
      </c>
      <c r="G125" s="55">
        <f t="shared" si="18"/>
        <v>0</v>
      </c>
      <c r="H125" s="113">
        <f t="shared" si="12"/>
        <v>0</v>
      </c>
      <c r="I125" s="122">
        <f t="shared" si="13"/>
        <v>0</v>
      </c>
      <c r="J125" s="54">
        <f t="shared" si="14"/>
        <v>0</v>
      </c>
      <c r="K125" s="54"/>
      <c r="L125" s="115"/>
      <c r="M125" s="54">
        <f t="shared" si="9"/>
        <v>0</v>
      </c>
      <c r="N125" s="115"/>
      <c r="O125" s="54">
        <f t="shared" si="10"/>
        <v>0</v>
      </c>
      <c r="P125" s="54">
        <f t="shared" si="11"/>
        <v>0</v>
      </c>
    </row>
    <row r="126" spans="2:16" ht="12.5">
      <c r="B126" s="7" t="str">
        <f t="shared" si="15"/>
        <v/>
      </c>
      <c r="C126" s="50">
        <f>IF(D93="","-",+C125+1)</f>
        <v>2042</v>
      </c>
      <c r="D126" s="12">
        <f>IF(F125+SUM(E$99:E125)=D$92,F125,D$92-SUM(E$99:E125))</f>
        <v>0</v>
      </c>
      <c r="E126" s="56">
        <f t="shared" si="16"/>
        <v>0</v>
      </c>
      <c r="F126" s="55">
        <f t="shared" si="17"/>
        <v>0</v>
      </c>
      <c r="G126" s="55">
        <f t="shared" si="18"/>
        <v>0</v>
      </c>
      <c r="H126" s="113">
        <f t="shared" si="12"/>
        <v>0</v>
      </c>
      <c r="I126" s="122">
        <f t="shared" si="13"/>
        <v>0</v>
      </c>
      <c r="J126" s="54">
        <f t="shared" si="14"/>
        <v>0</v>
      </c>
      <c r="K126" s="54"/>
      <c r="L126" s="115"/>
      <c r="M126" s="54">
        <f t="shared" si="9"/>
        <v>0</v>
      </c>
      <c r="N126" s="115"/>
      <c r="O126" s="54">
        <f t="shared" si="10"/>
        <v>0</v>
      </c>
      <c r="P126" s="54">
        <f t="shared" si="11"/>
        <v>0</v>
      </c>
    </row>
    <row r="127" spans="2:16" ht="12.5">
      <c r="B127" s="7" t="str">
        <f t="shared" si="15"/>
        <v/>
      </c>
      <c r="C127" s="50">
        <f>IF(D93="","-",+C126+1)</f>
        <v>2043</v>
      </c>
      <c r="D127" s="12">
        <f>IF(F126+SUM(E$99:E126)=D$92,F126,D$92-SUM(E$99:E126))</f>
        <v>0</v>
      </c>
      <c r="E127" s="56">
        <f t="shared" si="16"/>
        <v>0</v>
      </c>
      <c r="F127" s="55">
        <f t="shared" si="17"/>
        <v>0</v>
      </c>
      <c r="G127" s="55">
        <f t="shared" si="18"/>
        <v>0</v>
      </c>
      <c r="H127" s="113">
        <f t="shared" si="12"/>
        <v>0</v>
      </c>
      <c r="I127" s="122">
        <f t="shared" si="13"/>
        <v>0</v>
      </c>
      <c r="J127" s="54">
        <f t="shared" si="14"/>
        <v>0</v>
      </c>
      <c r="K127" s="54"/>
      <c r="L127" s="115"/>
      <c r="M127" s="54">
        <f t="shared" si="9"/>
        <v>0</v>
      </c>
      <c r="N127" s="115"/>
      <c r="O127" s="54">
        <f t="shared" si="10"/>
        <v>0</v>
      </c>
      <c r="P127" s="54">
        <f t="shared" si="11"/>
        <v>0</v>
      </c>
    </row>
    <row r="128" spans="2:16" ht="12.5">
      <c r="B128" s="7" t="str">
        <f t="shared" si="15"/>
        <v/>
      </c>
      <c r="C128" s="50">
        <f>IF(D93="","-",+C127+1)</f>
        <v>2044</v>
      </c>
      <c r="D128" s="12">
        <f>IF(F127+SUM(E$99:E127)=D$92,F127,D$92-SUM(E$99:E127))</f>
        <v>0</v>
      </c>
      <c r="E128" s="56">
        <f t="shared" si="16"/>
        <v>0</v>
      </c>
      <c r="F128" s="55">
        <f t="shared" si="17"/>
        <v>0</v>
      </c>
      <c r="G128" s="55">
        <f t="shared" si="18"/>
        <v>0</v>
      </c>
      <c r="H128" s="113">
        <f t="shared" si="12"/>
        <v>0</v>
      </c>
      <c r="I128" s="122">
        <f t="shared" si="13"/>
        <v>0</v>
      </c>
      <c r="J128" s="54">
        <f t="shared" si="14"/>
        <v>0</v>
      </c>
      <c r="K128" s="54"/>
      <c r="L128" s="115"/>
      <c r="M128" s="54">
        <f t="shared" si="9"/>
        <v>0</v>
      </c>
      <c r="N128" s="115"/>
      <c r="O128" s="54">
        <f t="shared" si="10"/>
        <v>0</v>
      </c>
      <c r="P128" s="54">
        <f t="shared" si="11"/>
        <v>0</v>
      </c>
    </row>
    <row r="129" spans="2:16" ht="12.5">
      <c r="B129" s="7" t="str">
        <f t="shared" si="15"/>
        <v/>
      </c>
      <c r="C129" s="50">
        <f>IF(D93="","-",+C128+1)</f>
        <v>2045</v>
      </c>
      <c r="D129" s="12">
        <f>IF(F128+SUM(E$99:E128)=D$92,F128,D$92-SUM(E$99:E128))</f>
        <v>0</v>
      </c>
      <c r="E129" s="56">
        <f t="shared" si="16"/>
        <v>0</v>
      </c>
      <c r="F129" s="55">
        <f t="shared" si="17"/>
        <v>0</v>
      </c>
      <c r="G129" s="55">
        <f t="shared" si="18"/>
        <v>0</v>
      </c>
      <c r="H129" s="113">
        <f t="shared" si="12"/>
        <v>0</v>
      </c>
      <c r="I129" s="122">
        <f t="shared" si="13"/>
        <v>0</v>
      </c>
      <c r="J129" s="54">
        <f t="shared" si="14"/>
        <v>0</v>
      </c>
      <c r="K129" s="54"/>
      <c r="L129" s="115"/>
      <c r="M129" s="54">
        <f t="shared" si="9"/>
        <v>0</v>
      </c>
      <c r="N129" s="115"/>
      <c r="O129" s="54">
        <f t="shared" si="10"/>
        <v>0</v>
      </c>
      <c r="P129" s="54">
        <f t="shared" si="11"/>
        <v>0</v>
      </c>
    </row>
    <row r="130" spans="2:16" ht="12.5">
      <c r="B130" s="7" t="str">
        <f t="shared" si="15"/>
        <v/>
      </c>
      <c r="C130" s="50">
        <f>IF(D93="","-",+C129+1)</f>
        <v>2046</v>
      </c>
      <c r="D130" s="12">
        <f>IF(F129+SUM(E$99:E129)=D$92,F129,D$92-SUM(E$99:E129))</f>
        <v>0</v>
      </c>
      <c r="E130" s="56">
        <f t="shared" si="16"/>
        <v>0</v>
      </c>
      <c r="F130" s="55">
        <f t="shared" si="17"/>
        <v>0</v>
      </c>
      <c r="G130" s="55">
        <f t="shared" si="18"/>
        <v>0</v>
      </c>
      <c r="H130" s="113">
        <f t="shared" si="12"/>
        <v>0</v>
      </c>
      <c r="I130" s="122">
        <f t="shared" si="13"/>
        <v>0</v>
      </c>
      <c r="J130" s="54">
        <f t="shared" si="14"/>
        <v>0</v>
      </c>
      <c r="K130" s="54"/>
      <c r="L130" s="115"/>
      <c r="M130" s="54">
        <f t="shared" si="9"/>
        <v>0</v>
      </c>
      <c r="N130" s="115"/>
      <c r="O130" s="54">
        <f t="shared" si="10"/>
        <v>0</v>
      </c>
      <c r="P130" s="54">
        <f t="shared" si="11"/>
        <v>0</v>
      </c>
    </row>
    <row r="131" spans="2:16" ht="12.5">
      <c r="B131" s="7" t="str">
        <f t="shared" si="15"/>
        <v/>
      </c>
      <c r="C131" s="50">
        <f>IF(D93="","-",+C130+1)</f>
        <v>2047</v>
      </c>
      <c r="D131" s="12">
        <f>IF(F130+SUM(E$99:E130)=D$92,F130,D$92-SUM(E$99:E130))</f>
        <v>0</v>
      </c>
      <c r="E131" s="56">
        <f t="shared" si="16"/>
        <v>0</v>
      </c>
      <c r="F131" s="55">
        <f t="shared" si="17"/>
        <v>0</v>
      </c>
      <c r="G131" s="55">
        <f t="shared" si="18"/>
        <v>0</v>
      </c>
      <c r="H131" s="113">
        <f t="shared" si="12"/>
        <v>0</v>
      </c>
      <c r="I131" s="122">
        <f t="shared" si="13"/>
        <v>0</v>
      </c>
      <c r="J131" s="54">
        <f t="shared" ref="J131:J154" si="19">+I541-H541</f>
        <v>0</v>
      </c>
      <c r="K131" s="54"/>
      <c r="L131" s="115"/>
      <c r="M131" s="54">
        <f t="shared" ref="M131:M154" si="20">IF(L541&lt;&gt;0,+H541-L541,0)</f>
        <v>0</v>
      </c>
      <c r="N131" s="115"/>
      <c r="O131" s="54">
        <f t="shared" ref="O131:O154" si="21">IF(N541&lt;&gt;0,+I541-N541,0)</f>
        <v>0</v>
      </c>
      <c r="P131" s="54">
        <f t="shared" ref="P131:P154" si="22">+O541-M541</f>
        <v>0</v>
      </c>
    </row>
    <row r="132" spans="2:16" ht="12.5">
      <c r="B132" s="7" t="str">
        <f t="shared" si="15"/>
        <v/>
      </c>
      <c r="C132" s="50">
        <f>IF(D93="","-",+C131+1)</f>
        <v>2048</v>
      </c>
      <c r="D132" s="12">
        <f>IF(F131+SUM(E$99:E131)=D$92,F131,D$92-SUM(E$99:E131))</f>
        <v>0</v>
      </c>
      <c r="E132" s="56">
        <f t="shared" si="16"/>
        <v>0</v>
      </c>
      <c r="F132" s="55">
        <f t="shared" si="17"/>
        <v>0</v>
      </c>
      <c r="G132" s="55">
        <f t="shared" si="18"/>
        <v>0</v>
      </c>
      <c r="H132" s="113">
        <f t="shared" si="12"/>
        <v>0</v>
      </c>
      <c r="I132" s="122">
        <f t="shared" si="13"/>
        <v>0</v>
      </c>
      <c r="J132" s="54">
        <f t="shared" si="19"/>
        <v>0</v>
      </c>
      <c r="K132" s="54"/>
      <c r="L132" s="115"/>
      <c r="M132" s="54">
        <f t="shared" si="20"/>
        <v>0</v>
      </c>
      <c r="N132" s="115"/>
      <c r="O132" s="54">
        <f t="shared" si="21"/>
        <v>0</v>
      </c>
      <c r="P132" s="54">
        <f t="shared" si="22"/>
        <v>0</v>
      </c>
    </row>
    <row r="133" spans="2:16" ht="12.5">
      <c r="B133" s="7" t="str">
        <f t="shared" si="15"/>
        <v/>
      </c>
      <c r="C133" s="50">
        <f>IF(D93="","-",+C132+1)</f>
        <v>2049</v>
      </c>
      <c r="D133" s="12">
        <f>IF(F132+SUM(E$99:E132)=D$92,F132,D$92-SUM(E$99:E132))</f>
        <v>0</v>
      </c>
      <c r="E133" s="56">
        <f t="shared" si="16"/>
        <v>0</v>
      </c>
      <c r="F133" s="55">
        <f t="shared" si="17"/>
        <v>0</v>
      </c>
      <c r="G133" s="55">
        <f t="shared" si="18"/>
        <v>0</v>
      </c>
      <c r="H133" s="113">
        <f t="shared" si="12"/>
        <v>0</v>
      </c>
      <c r="I133" s="122">
        <f t="shared" si="13"/>
        <v>0</v>
      </c>
      <c r="J133" s="54">
        <f t="shared" si="19"/>
        <v>0</v>
      </c>
      <c r="K133" s="54"/>
      <c r="L133" s="115"/>
      <c r="M133" s="54">
        <f t="shared" si="20"/>
        <v>0</v>
      </c>
      <c r="N133" s="115"/>
      <c r="O133" s="54">
        <f t="shared" si="21"/>
        <v>0</v>
      </c>
      <c r="P133" s="54">
        <f t="shared" si="22"/>
        <v>0</v>
      </c>
    </row>
    <row r="134" spans="2:16" ht="12.5">
      <c r="B134" s="7" t="str">
        <f t="shared" si="15"/>
        <v/>
      </c>
      <c r="C134" s="50">
        <f>IF(D93="","-",+C133+1)</f>
        <v>2050</v>
      </c>
      <c r="D134" s="12">
        <f>IF(F133+SUM(E$99:E133)=D$92,F133,D$92-SUM(E$99:E133))</f>
        <v>0</v>
      </c>
      <c r="E134" s="56">
        <f t="shared" si="16"/>
        <v>0</v>
      </c>
      <c r="F134" s="55">
        <f t="shared" si="17"/>
        <v>0</v>
      </c>
      <c r="G134" s="55">
        <f t="shared" si="18"/>
        <v>0</v>
      </c>
      <c r="H134" s="113">
        <f t="shared" si="12"/>
        <v>0</v>
      </c>
      <c r="I134" s="122">
        <f t="shared" si="13"/>
        <v>0</v>
      </c>
      <c r="J134" s="54">
        <f t="shared" si="19"/>
        <v>0</v>
      </c>
      <c r="K134" s="54"/>
      <c r="L134" s="115"/>
      <c r="M134" s="54">
        <f t="shared" si="20"/>
        <v>0</v>
      </c>
      <c r="N134" s="115"/>
      <c r="O134" s="54">
        <f t="shared" si="21"/>
        <v>0</v>
      </c>
      <c r="P134" s="54">
        <f t="shared" si="22"/>
        <v>0</v>
      </c>
    </row>
    <row r="135" spans="2:16" ht="12.5">
      <c r="B135" s="7" t="str">
        <f t="shared" si="15"/>
        <v/>
      </c>
      <c r="C135" s="50">
        <f>IF(D93="","-",+C134+1)</f>
        <v>2051</v>
      </c>
      <c r="D135" s="12">
        <f>IF(F134+SUM(E$99:E134)=D$92,F134,D$92-SUM(E$99:E134))</f>
        <v>0</v>
      </c>
      <c r="E135" s="56">
        <f t="shared" si="16"/>
        <v>0</v>
      </c>
      <c r="F135" s="55">
        <f t="shared" si="17"/>
        <v>0</v>
      </c>
      <c r="G135" s="55">
        <f t="shared" si="18"/>
        <v>0</v>
      </c>
      <c r="H135" s="113">
        <f t="shared" si="12"/>
        <v>0</v>
      </c>
      <c r="I135" s="122">
        <f t="shared" si="13"/>
        <v>0</v>
      </c>
      <c r="J135" s="54">
        <f t="shared" si="19"/>
        <v>0</v>
      </c>
      <c r="K135" s="54"/>
      <c r="L135" s="115"/>
      <c r="M135" s="54">
        <f t="shared" si="20"/>
        <v>0</v>
      </c>
      <c r="N135" s="115"/>
      <c r="O135" s="54">
        <f t="shared" si="21"/>
        <v>0</v>
      </c>
      <c r="P135" s="54">
        <f t="shared" si="22"/>
        <v>0</v>
      </c>
    </row>
    <row r="136" spans="2:16" ht="12.5">
      <c r="B136" s="7" t="str">
        <f t="shared" si="15"/>
        <v/>
      </c>
      <c r="C136" s="50">
        <f>IF(D93="","-",+C135+1)</f>
        <v>2052</v>
      </c>
      <c r="D136" s="12">
        <f>IF(F135+SUM(E$99:E135)=D$92,F135,D$92-SUM(E$99:E135))</f>
        <v>0</v>
      </c>
      <c r="E136" s="56">
        <f t="shared" si="16"/>
        <v>0</v>
      </c>
      <c r="F136" s="55">
        <f t="shared" si="17"/>
        <v>0</v>
      </c>
      <c r="G136" s="55">
        <f t="shared" si="18"/>
        <v>0</v>
      </c>
      <c r="H136" s="113">
        <f t="shared" si="12"/>
        <v>0</v>
      </c>
      <c r="I136" s="122">
        <f t="shared" si="13"/>
        <v>0</v>
      </c>
      <c r="J136" s="54">
        <f t="shared" si="19"/>
        <v>0</v>
      </c>
      <c r="K136" s="54"/>
      <c r="L136" s="115"/>
      <c r="M136" s="54">
        <f t="shared" si="20"/>
        <v>0</v>
      </c>
      <c r="N136" s="115"/>
      <c r="O136" s="54">
        <f t="shared" si="21"/>
        <v>0</v>
      </c>
      <c r="P136" s="54">
        <f t="shared" si="22"/>
        <v>0</v>
      </c>
    </row>
    <row r="137" spans="2:16" ht="12.5">
      <c r="B137" s="7" t="str">
        <f t="shared" si="15"/>
        <v/>
      </c>
      <c r="C137" s="50">
        <f>IF(D93="","-",+C136+1)</f>
        <v>2053</v>
      </c>
      <c r="D137" s="12">
        <f>IF(F136+SUM(E$99:E136)=D$92,F136,D$92-SUM(E$99:E136))</f>
        <v>0</v>
      </c>
      <c r="E137" s="56">
        <f t="shared" si="16"/>
        <v>0</v>
      </c>
      <c r="F137" s="55">
        <f t="shared" si="17"/>
        <v>0</v>
      </c>
      <c r="G137" s="55">
        <f t="shared" si="18"/>
        <v>0</v>
      </c>
      <c r="H137" s="113">
        <f t="shared" si="12"/>
        <v>0</v>
      </c>
      <c r="I137" s="122">
        <f t="shared" si="13"/>
        <v>0</v>
      </c>
      <c r="J137" s="54">
        <f t="shared" si="19"/>
        <v>0</v>
      </c>
      <c r="K137" s="54"/>
      <c r="L137" s="115"/>
      <c r="M137" s="54">
        <f t="shared" si="20"/>
        <v>0</v>
      </c>
      <c r="N137" s="115"/>
      <c r="O137" s="54">
        <f t="shared" si="21"/>
        <v>0</v>
      </c>
      <c r="P137" s="54">
        <f t="shared" si="22"/>
        <v>0</v>
      </c>
    </row>
    <row r="138" spans="2:16" ht="12.5">
      <c r="B138" s="7" t="str">
        <f t="shared" si="15"/>
        <v/>
      </c>
      <c r="C138" s="50">
        <f>IF(D93="","-",+C137+1)</f>
        <v>2054</v>
      </c>
      <c r="D138" s="12">
        <f>IF(F137+SUM(E$99:E137)=D$92,F137,D$92-SUM(E$99:E137))</f>
        <v>0</v>
      </c>
      <c r="E138" s="56">
        <f t="shared" si="16"/>
        <v>0</v>
      </c>
      <c r="F138" s="55">
        <f t="shared" si="17"/>
        <v>0</v>
      </c>
      <c r="G138" s="55">
        <f t="shared" si="18"/>
        <v>0</v>
      </c>
      <c r="H138" s="113">
        <f t="shared" si="12"/>
        <v>0</v>
      </c>
      <c r="I138" s="122">
        <f t="shared" si="13"/>
        <v>0</v>
      </c>
      <c r="J138" s="54">
        <f t="shared" si="19"/>
        <v>0</v>
      </c>
      <c r="K138" s="54"/>
      <c r="L138" s="115"/>
      <c r="M138" s="54">
        <f t="shared" si="20"/>
        <v>0</v>
      </c>
      <c r="N138" s="115"/>
      <c r="O138" s="54">
        <f t="shared" si="21"/>
        <v>0</v>
      </c>
      <c r="P138" s="54">
        <f t="shared" si="22"/>
        <v>0</v>
      </c>
    </row>
    <row r="139" spans="2:16" ht="12.5">
      <c r="B139" s="7" t="str">
        <f t="shared" si="15"/>
        <v/>
      </c>
      <c r="C139" s="50">
        <f>IF(D93="","-",+C138+1)</f>
        <v>2055</v>
      </c>
      <c r="D139" s="12">
        <f>IF(F138+SUM(E$99:E138)=D$92,F138,D$92-SUM(E$99:E138))</f>
        <v>0</v>
      </c>
      <c r="E139" s="56">
        <f t="shared" si="16"/>
        <v>0</v>
      </c>
      <c r="F139" s="55">
        <f t="shared" si="17"/>
        <v>0</v>
      </c>
      <c r="G139" s="55">
        <f t="shared" si="18"/>
        <v>0</v>
      </c>
      <c r="H139" s="113">
        <f t="shared" si="12"/>
        <v>0</v>
      </c>
      <c r="I139" s="122">
        <f t="shared" si="13"/>
        <v>0</v>
      </c>
      <c r="J139" s="54">
        <f t="shared" si="19"/>
        <v>0</v>
      </c>
      <c r="K139" s="54"/>
      <c r="L139" s="115"/>
      <c r="M139" s="54">
        <f t="shared" si="20"/>
        <v>0</v>
      </c>
      <c r="N139" s="115"/>
      <c r="O139" s="54">
        <f t="shared" si="21"/>
        <v>0</v>
      </c>
      <c r="P139" s="54">
        <f t="shared" si="22"/>
        <v>0</v>
      </c>
    </row>
    <row r="140" spans="2:16" ht="12.5">
      <c r="B140" s="7" t="str">
        <f t="shared" si="15"/>
        <v/>
      </c>
      <c r="C140" s="50">
        <f>IF(D93="","-",+C139+1)</f>
        <v>2056</v>
      </c>
      <c r="D140" s="12">
        <f>IF(F139+SUM(E$99:E139)=D$92,F139,D$92-SUM(E$99:E139))</f>
        <v>0</v>
      </c>
      <c r="E140" s="56">
        <f t="shared" si="16"/>
        <v>0</v>
      </c>
      <c r="F140" s="55">
        <f t="shared" si="17"/>
        <v>0</v>
      </c>
      <c r="G140" s="55">
        <f t="shared" si="18"/>
        <v>0</v>
      </c>
      <c r="H140" s="113">
        <f t="shared" si="12"/>
        <v>0</v>
      </c>
      <c r="I140" s="122">
        <f t="shared" si="13"/>
        <v>0</v>
      </c>
      <c r="J140" s="54">
        <f t="shared" si="19"/>
        <v>0</v>
      </c>
      <c r="K140" s="54"/>
      <c r="L140" s="115"/>
      <c r="M140" s="54">
        <f t="shared" si="20"/>
        <v>0</v>
      </c>
      <c r="N140" s="115"/>
      <c r="O140" s="54">
        <f t="shared" si="21"/>
        <v>0</v>
      </c>
      <c r="P140" s="54">
        <f t="shared" si="22"/>
        <v>0</v>
      </c>
    </row>
    <row r="141" spans="2:16" ht="12.5">
      <c r="B141" s="7" t="str">
        <f t="shared" si="15"/>
        <v/>
      </c>
      <c r="C141" s="50">
        <f>IF(D93="","-",+C140+1)</f>
        <v>2057</v>
      </c>
      <c r="D141" s="12">
        <f>IF(F140+SUM(E$99:E140)=D$92,F140,D$92-SUM(E$99:E140))</f>
        <v>0</v>
      </c>
      <c r="E141" s="56">
        <f t="shared" si="16"/>
        <v>0</v>
      </c>
      <c r="F141" s="55">
        <f t="shared" si="17"/>
        <v>0</v>
      </c>
      <c r="G141" s="55">
        <f t="shared" si="18"/>
        <v>0</v>
      </c>
      <c r="H141" s="113">
        <f t="shared" si="12"/>
        <v>0</v>
      </c>
      <c r="I141" s="122">
        <f t="shared" si="13"/>
        <v>0</v>
      </c>
      <c r="J141" s="54">
        <f t="shared" si="19"/>
        <v>0</v>
      </c>
      <c r="K141" s="54"/>
      <c r="L141" s="115"/>
      <c r="M141" s="54">
        <f t="shared" si="20"/>
        <v>0</v>
      </c>
      <c r="N141" s="115"/>
      <c r="O141" s="54">
        <f t="shared" si="21"/>
        <v>0</v>
      </c>
      <c r="P141" s="54">
        <f t="shared" si="22"/>
        <v>0</v>
      </c>
    </row>
    <row r="142" spans="2:16" ht="12.5">
      <c r="B142" s="7" t="str">
        <f t="shared" si="15"/>
        <v/>
      </c>
      <c r="C142" s="50">
        <f>IF(D93="","-",+C141+1)</f>
        <v>2058</v>
      </c>
      <c r="D142" s="12">
        <f>IF(F141+SUM(E$99:E141)=D$92,F141,D$92-SUM(E$99:E141))</f>
        <v>0</v>
      </c>
      <c r="E142" s="56">
        <f t="shared" si="16"/>
        <v>0</v>
      </c>
      <c r="F142" s="55">
        <f t="shared" si="17"/>
        <v>0</v>
      </c>
      <c r="G142" s="55">
        <f t="shared" si="18"/>
        <v>0</v>
      </c>
      <c r="H142" s="113">
        <f t="shared" si="12"/>
        <v>0</v>
      </c>
      <c r="I142" s="122">
        <f t="shared" si="13"/>
        <v>0</v>
      </c>
      <c r="J142" s="54">
        <f t="shared" si="19"/>
        <v>0</v>
      </c>
      <c r="K142" s="54"/>
      <c r="L142" s="115"/>
      <c r="M142" s="54">
        <f t="shared" si="20"/>
        <v>0</v>
      </c>
      <c r="N142" s="115"/>
      <c r="O142" s="54">
        <f t="shared" si="21"/>
        <v>0</v>
      </c>
      <c r="P142" s="54">
        <f t="shared" si="22"/>
        <v>0</v>
      </c>
    </row>
    <row r="143" spans="2:16" ht="12.5">
      <c r="B143" s="7" t="str">
        <f t="shared" si="15"/>
        <v/>
      </c>
      <c r="C143" s="50">
        <f>IF(D93="","-",+C142+1)</f>
        <v>2059</v>
      </c>
      <c r="D143" s="12">
        <f>IF(F142+SUM(E$99:E142)=D$92,F142,D$92-SUM(E$99:E142))</f>
        <v>0</v>
      </c>
      <c r="E143" s="56">
        <f t="shared" si="16"/>
        <v>0</v>
      </c>
      <c r="F143" s="55">
        <f t="shared" si="17"/>
        <v>0</v>
      </c>
      <c r="G143" s="55">
        <f t="shared" si="18"/>
        <v>0</v>
      </c>
      <c r="H143" s="113">
        <f t="shared" si="12"/>
        <v>0</v>
      </c>
      <c r="I143" s="122">
        <f t="shared" si="13"/>
        <v>0</v>
      </c>
      <c r="J143" s="54">
        <f t="shared" si="19"/>
        <v>0</v>
      </c>
      <c r="K143" s="54"/>
      <c r="L143" s="115"/>
      <c r="M143" s="54">
        <f t="shared" si="20"/>
        <v>0</v>
      </c>
      <c r="N143" s="115"/>
      <c r="O143" s="54">
        <f t="shared" si="21"/>
        <v>0</v>
      </c>
      <c r="P143" s="54">
        <f t="shared" si="22"/>
        <v>0</v>
      </c>
    </row>
    <row r="144" spans="2:16" ht="12.5">
      <c r="B144" s="7" t="str">
        <f t="shared" si="15"/>
        <v/>
      </c>
      <c r="C144" s="50">
        <f>IF(D93="","-",+C143+1)</f>
        <v>2060</v>
      </c>
      <c r="D144" s="12">
        <f>IF(F143+SUM(E$99:E143)=D$92,F143,D$92-SUM(E$99:E143))</f>
        <v>0</v>
      </c>
      <c r="E144" s="56">
        <f t="shared" si="16"/>
        <v>0</v>
      </c>
      <c r="F144" s="55">
        <f t="shared" si="17"/>
        <v>0</v>
      </c>
      <c r="G144" s="55">
        <f t="shared" si="18"/>
        <v>0</v>
      </c>
      <c r="H144" s="113">
        <f t="shared" si="12"/>
        <v>0</v>
      </c>
      <c r="I144" s="122">
        <f t="shared" si="13"/>
        <v>0</v>
      </c>
      <c r="J144" s="54">
        <f t="shared" si="19"/>
        <v>0</v>
      </c>
      <c r="K144" s="54"/>
      <c r="L144" s="115"/>
      <c r="M144" s="54">
        <f t="shared" si="20"/>
        <v>0</v>
      </c>
      <c r="N144" s="115"/>
      <c r="O144" s="54">
        <f t="shared" si="21"/>
        <v>0</v>
      </c>
      <c r="P144" s="54">
        <f t="shared" si="22"/>
        <v>0</v>
      </c>
    </row>
    <row r="145" spans="2:16" ht="12.5">
      <c r="B145" s="7" t="str">
        <f t="shared" si="15"/>
        <v/>
      </c>
      <c r="C145" s="50">
        <f>IF(D93="","-",+C144+1)</f>
        <v>2061</v>
      </c>
      <c r="D145" s="12">
        <f>IF(F144+SUM(E$99:E144)=D$92,F144,D$92-SUM(E$99:E144))</f>
        <v>0</v>
      </c>
      <c r="E145" s="56">
        <f t="shared" si="16"/>
        <v>0</v>
      </c>
      <c r="F145" s="55">
        <f t="shared" si="17"/>
        <v>0</v>
      </c>
      <c r="G145" s="55">
        <f t="shared" si="18"/>
        <v>0</v>
      </c>
      <c r="H145" s="113">
        <f t="shared" si="12"/>
        <v>0</v>
      </c>
      <c r="I145" s="122">
        <f t="shared" si="13"/>
        <v>0</v>
      </c>
      <c r="J145" s="54">
        <f t="shared" si="19"/>
        <v>0</v>
      </c>
      <c r="K145" s="54"/>
      <c r="L145" s="115"/>
      <c r="M145" s="54">
        <f t="shared" si="20"/>
        <v>0</v>
      </c>
      <c r="N145" s="115"/>
      <c r="O145" s="54">
        <f t="shared" si="21"/>
        <v>0</v>
      </c>
      <c r="P145" s="54">
        <f t="shared" si="22"/>
        <v>0</v>
      </c>
    </row>
    <row r="146" spans="2:16" ht="12.5">
      <c r="B146" s="7" t="str">
        <f t="shared" si="15"/>
        <v/>
      </c>
      <c r="C146" s="50">
        <f>IF(D93="","-",+C145+1)</f>
        <v>2062</v>
      </c>
      <c r="D146" s="12">
        <f>IF(F145+SUM(E$99:E145)=D$92,F145,D$92-SUM(E$99:E145))</f>
        <v>0</v>
      </c>
      <c r="E146" s="56">
        <f t="shared" si="16"/>
        <v>0</v>
      </c>
      <c r="F146" s="55">
        <f t="shared" si="17"/>
        <v>0</v>
      </c>
      <c r="G146" s="55">
        <f t="shared" si="18"/>
        <v>0</v>
      </c>
      <c r="H146" s="113">
        <f t="shared" si="12"/>
        <v>0</v>
      </c>
      <c r="I146" s="122">
        <f t="shared" si="13"/>
        <v>0</v>
      </c>
      <c r="J146" s="54">
        <f t="shared" si="19"/>
        <v>0</v>
      </c>
      <c r="K146" s="54"/>
      <c r="L146" s="115"/>
      <c r="M146" s="54">
        <f t="shared" si="20"/>
        <v>0</v>
      </c>
      <c r="N146" s="115"/>
      <c r="O146" s="54">
        <f t="shared" si="21"/>
        <v>0</v>
      </c>
      <c r="P146" s="54">
        <f t="shared" si="22"/>
        <v>0</v>
      </c>
    </row>
    <row r="147" spans="2:16" ht="12.5">
      <c r="B147" s="7" t="str">
        <f t="shared" si="15"/>
        <v/>
      </c>
      <c r="C147" s="50">
        <f>IF(D93="","-",+C146+1)</f>
        <v>2063</v>
      </c>
      <c r="D147" s="12">
        <f>IF(F146+SUM(E$99:E146)=D$92,F146,D$92-SUM(E$99:E146))</f>
        <v>0</v>
      </c>
      <c r="E147" s="56">
        <f t="shared" si="16"/>
        <v>0</v>
      </c>
      <c r="F147" s="55">
        <f t="shared" si="17"/>
        <v>0</v>
      </c>
      <c r="G147" s="55">
        <f t="shared" si="18"/>
        <v>0</v>
      </c>
      <c r="H147" s="113">
        <f t="shared" si="12"/>
        <v>0</v>
      </c>
      <c r="I147" s="122">
        <f t="shared" si="13"/>
        <v>0</v>
      </c>
      <c r="J147" s="54">
        <f t="shared" si="19"/>
        <v>0</v>
      </c>
      <c r="K147" s="54"/>
      <c r="L147" s="115"/>
      <c r="M147" s="54">
        <f t="shared" si="20"/>
        <v>0</v>
      </c>
      <c r="N147" s="115"/>
      <c r="O147" s="54">
        <f t="shared" si="21"/>
        <v>0</v>
      </c>
      <c r="P147" s="54">
        <f t="shared" si="22"/>
        <v>0</v>
      </c>
    </row>
    <row r="148" spans="2:16" ht="12.5">
      <c r="B148" s="7" t="str">
        <f t="shared" si="15"/>
        <v/>
      </c>
      <c r="C148" s="50">
        <f>IF(D93="","-",+C147+1)</f>
        <v>2064</v>
      </c>
      <c r="D148" s="12">
        <f>IF(F147+SUM(E$99:E147)=D$92,F147,D$92-SUM(E$99:E147))</f>
        <v>0</v>
      </c>
      <c r="E148" s="56">
        <f t="shared" si="16"/>
        <v>0</v>
      </c>
      <c r="F148" s="55">
        <f t="shared" si="17"/>
        <v>0</v>
      </c>
      <c r="G148" s="55">
        <f t="shared" si="18"/>
        <v>0</v>
      </c>
      <c r="H148" s="113">
        <f t="shared" si="12"/>
        <v>0</v>
      </c>
      <c r="I148" s="122">
        <f t="shared" si="13"/>
        <v>0</v>
      </c>
      <c r="J148" s="54">
        <f t="shared" si="19"/>
        <v>0</v>
      </c>
      <c r="K148" s="54"/>
      <c r="L148" s="115"/>
      <c r="M148" s="54">
        <f t="shared" si="20"/>
        <v>0</v>
      </c>
      <c r="N148" s="115"/>
      <c r="O148" s="54">
        <f t="shared" si="21"/>
        <v>0</v>
      </c>
      <c r="P148" s="54">
        <f t="shared" si="22"/>
        <v>0</v>
      </c>
    </row>
    <row r="149" spans="2:16" ht="12.5">
      <c r="B149" s="7" t="str">
        <f t="shared" si="15"/>
        <v/>
      </c>
      <c r="C149" s="50">
        <f>IF(D93="","-",+C148+1)</f>
        <v>2065</v>
      </c>
      <c r="D149" s="12">
        <f>IF(F148+SUM(E$99:E148)=D$92,F148,D$92-SUM(E$99:E148))</f>
        <v>0</v>
      </c>
      <c r="E149" s="56">
        <f t="shared" si="16"/>
        <v>0</v>
      </c>
      <c r="F149" s="55">
        <f t="shared" si="17"/>
        <v>0</v>
      </c>
      <c r="G149" s="55">
        <f t="shared" si="18"/>
        <v>0</v>
      </c>
      <c r="H149" s="113">
        <f t="shared" si="12"/>
        <v>0</v>
      </c>
      <c r="I149" s="122">
        <f t="shared" si="13"/>
        <v>0</v>
      </c>
      <c r="J149" s="54">
        <f t="shared" si="19"/>
        <v>0</v>
      </c>
      <c r="K149" s="54"/>
      <c r="L149" s="115"/>
      <c r="M149" s="54">
        <f t="shared" si="20"/>
        <v>0</v>
      </c>
      <c r="N149" s="115"/>
      <c r="O149" s="54">
        <f t="shared" si="21"/>
        <v>0</v>
      </c>
      <c r="P149" s="54">
        <f t="shared" si="22"/>
        <v>0</v>
      </c>
    </row>
    <row r="150" spans="2:16" ht="12.5">
      <c r="B150" s="7" t="str">
        <f t="shared" si="15"/>
        <v/>
      </c>
      <c r="C150" s="50">
        <f>IF(D93="","-",+C149+1)</f>
        <v>2066</v>
      </c>
      <c r="D150" s="12">
        <f>IF(F149+SUM(E$99:E149)=D$92,F149,D$92-SUM(E$99:E149))</f>
        <v>0</v>
      </c>
      <c r="E150" s="56">
        <f t="shared" si="16"/>
        <v>0</v>
      </c>
      <c r="F150" s="55">
        <f t="shared" si="17"/>
        <v>0</v>
      </c>
      <c r="G150" s="55">
        <f t="shared" si="18"/>
        <v>0</v>
      </c>
      <c r="H150" s="113">
        <f t="shared" si="12"/>
        <v>0</v>
      </c>
      <c r="I150" s="122">
        <f t="shared" si="13"/>
        <v>0</v>
      </c>
      <c r="J150" s="54">
        <f t="shared" si="19"/>
        <v>0</v>
      </c>
      <c r="K150" s="54"/>
      <c r="L150" s="115"/>
      <c r="M150" s="54">
        <f t="shared" si="20"/>
        <v>0</v>
      </c>
      <c r="N150" s="115"/>
      <c r="O150" s="54">
        <f t="shared" si="21"/>
        <v>0</v>
      </c>
      <c r="P150" s="54">
        <f t="shared" si="22"/>
        <v>0</v>
      </c>
    </row>
    <row r="151" spans="2:16" ht="12.5">
      <c r="B151" s="7" t="str">
        <f t="shared" si="15"/>
        <v/>
      </c>
      <c r="C151" s="50">
        <f>IF(D93="","-",+C150+1)</f>
        <v>2067</v>
      </c>
      <c r="D151" s="12">
        <f>IF(F150+SUM(E$99:E150)=D$92,F150,D$92-SUM(E$99:E150))</f>
        <v>0</v>
      </c>
      <c r="E151" s="56">
        <f t="shared" si="16"/>
        <v>0</v>
      </c>
      <c r="F151" s="55">
        <f t="shared" si="17"/>
        <v>0</v>
      </c>
      <c r="G151" s="55">
        <f t="shared" si="18"/>
        <v>0</v>
      </c>
      <c r="H151" s="113">
        <f t="shared" si="12"/>
        <v>0</v>
      </c>
      <c r="I151" s="122">
        <f t="shared" si="13"/>
        <v>0</v>
      </c>
      <c r="J151" s="54">
        <f t="shared" si="19"/>
        <v>0</v>
      </c>
      <c r="K151" s="54"/>
      <c r="L151" s="115"/>
      <c r="M151" s="54">
        <f t="shared" si="20"/>
        <v>0</v>
      </c>
      <c r="N151" s="115"/>
      <c r="O151" s="54">
        <f t="shared" si="21"/>
        <v>0</v>
      </c>
      <c r="P151" s="54">
        <f t="shared" si="22"/>
        <v>0</v>
      </c>
    </row>
    <row r="152" spans="2:16" ht="12.5">
      <c r="B152" s="7" t="str">
        <f t="shared" si="15"/>
        <v/>
      </c>
      <c r="C152" s="50">
        <f>IF(D93="","-",+C151+1)</f>
        <v>2068</v>
      </c>
      <c r="D152" s="12">
        <f>IF(F151+SUM(E$99:E151)=D$92,F151,D$92-SUM(E$99:E151))</f>
        <v>0</v>
      </c>
      <c r="E152" s="56">
        <f t="shared" si="16"/>
        <v>0</v>
      </c>
      <c r="F152" s="55">
        <f t="shared" si="17"/>
        <v>0</v>
      </c>
      <c r="G152" s="55">
        <f t="shared" si="18"/>
        <v>0</v>
      </c>
      <c r="H152" s="113">
        <f t="shared" si="12"/>
        <v>0</v>
      </c>
      <c r="I152" s="122">
        <f t="shared" si="13"/>
        <v>0</v>
      </c>
      <c r="J152" s="54">
        <f t="shared" si="19"/>
        <v>0</v>
      </c>
      <c r="K152" s="54"/>
      <c r="L152" s="115"/>
      <c r="M152" s="54">
        <f t="shared" si="20"/>
        <v>0</v>
      </c>
      <c r="N152" s="115"/>
      <c r="O152" s="54">
        <f t="shared" si="21"/>
        <v>0</v>
      </c>
      <c r="P152" s="54">
        <f t="shared" si="22"/>
        <v>0</v>
      </c>
    </row>
    <row r="153" spans="2:16" ht="12.5">
      <c r="B153" s="7" t="str">
        <f t="shared" si="15"/>
        <v/>
      </c>
      <c r="C153" s="50">
        <f>IF(D93="","-",+C152+1)</f>
        <v>2069</v>
      </c>
      <c r="D153" s="12">
        <f>IF(F152+SUM(E$99:E152)=D$92,F152,D$92-SUM(E$99:E152))</f>
        <v>0</v>
      </c>
      <c r="E153" s="56">
        <f t="shared" si="16"/>
        <v>0</v>
      </c>
      <c r="F153" s="55">
        <f t="shared" si="17"/>
        <v>0</v>
      </c>
      <c r="G153" s="55">
        <f t="shared" si="18"/>
        <v>0</v>
      </c>
      <c r="H153" s="113">
        <f t="shared" si="12"/>
        <v>0</v>
      </c>
      <c r="I153" s="122">
        <f t="shared" si="13"/>
        <v>0</v>
      </c>
      <c r="J153" s="54">
        <f t="shared" si="19"/>
        <v>0</v>
      </c>
      <c r="K153" s="54"/>
      <c r="L153" s="115"/>
      <c r="M153" s="54">
        <f t="shared" si="20"/>
        <v>0</v>
      </c>
      <c r="N153" s="115"/>
      <c r="O153" s="54">
        <f t="shared" si="21"/>
        <v>0</v>
      </c>
      <c r="P153" s="54">
        <f t="shared" si="22"/>
        <v>0</v>
      </c>
    </row>
    <row r="154" spans="2:16" ht="13" thickBot="1">
      <c r="B154" s="7" t="str">
        <f t="shared" si="15"/>
        <v/>
      </c>
      <c r="C154" s="58">
        <f>IF(D93="","-",+C153+1)</f>
        <v>2070</v>
      </c>
      <c r="D154" s="82">
        <f>IF(F153+SUM(E$99:E153)=D$92,F153,D$92-SUM(E$99:E153))</f>
        <v>0</v>
      </c>
      <c r="E154" s="60">
        <f t="shared" si="16"/>
        <v>0</v>
      </c>
      <c r="F154" s="59">
        <f t="shared" si="17"/>
        <v>0</v>
      </c>
      <c r="G154" s="59">
        <f t="shared" si="18"/>
        <v>0</v>
      </c>
      <c r="H154" s="123">
        <f t="shared" si="12"/>
        <v>0</v>
      </c>
      <c r="I154" s="124">
        <f t="shared" si="13"/>
        <v>0</v>
      </c>
      <c r="J154" s="62">
        <f t="shared" si="19"/>
        <v>0</v>
      </c>
      <c r="K154" s="54"/>
      <c r="L154" s="116"/>
      <c r="M154" s="62">
        <f t="shared" si="20"/>
        <v>0</v>
      </c>
      <c r="N154" s="116"/>
      <c r="O154" s="62">
        <f t="shared" si="21"/>
        <v>0</v>
      </c>
      <c r="P154" s="62">
        <f t="shared" si="22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V162"/>
  <sheetViews>
    <sheetView topLeftCell="A145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2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457032.86860895861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457032.86860895861</v>
      </c>
      <c r="O6" s="1"/>
      <c r="P6" s="1"/>
    </row>
    <row r="7" spans="1:16" ht="13.5" thickBot="1">
      <c r="C7" s="26" t="s">
        <v>46</v>
      </c>
      <c r="D7" s="332" t="s">
        <v>210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80</v>
      </c>
      <c r="E9" s="404" t="s">
        <v>353</v>
      </c>
      <c r="F9" s="32"/>
      <c r="G9" s="452" t="s">
        <v>388</v>
      </c>
      <c r="H9" s="32"/>
      <c r="I9" s="33"/>
      <c r="J9" s="34"/>
      <c r="P9" s="1"/>
    </row>
    <row r="10" spans="1:16" ht="13">
      <c r="C10" s="128" t="s">
        <v>226</v>
      </c>
      <c r="D10" s="336">
        <v>4688896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5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123392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C17" s="50">
        <f>IF(D11= "","-",D11)</f>
        <v>2009</v>
      </c>
      <c r="D17" s="349">
        <v>6704177</v>
      </c>
      <c r="E17" s="350">
        <v>73788</v>
      </c>
      <c r="F17" s="349">
        <v>6630389</v>
      </c>
      <c r="G17" s="350">
        <v>750999</v>
      </c>
      <c r="H17" s="350">
        <v>750999</v>
      </c>
      <c r="I17" s="52">
        <f t="shared" ref="I17:I48" si="0">H17-G17</f>
        <v>0</v>
      </c>
      <c r="J17" s="52"/>
      <c r="K17" s="324">
        <v>750999</v>
      </c>
      <c r="L17" s="53">
        <f t="shared" ref="L17:L48" si="1">IF(K17&lt;&gt;0,+G17-K17,0)</f>
        <v>0</v>
      </c>
      <c r="M17" s="324">
        <v>750999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4651603</v>
      </c>
      <c r="E18" s="352">
        <v>84382</v>
      </c>
      <c r="F18" s="351">
        <v>4567221</v>
      </c>
      <c r="G18" s="352">
        <v>743416</v>
      </c>
      <c r="H18" s="353">
        <v>743416</v>
      </c>
      <c r="I18" s="52">
        <f t="shared" si="0"/>
        <v>0</v>
      </c>
      <c r="J18" s="52"/>
      <c r="K18" s="324">
        <f t="shared" ref="K18:K23" si="4">G18</f>
        <v>743416</v>
      </c>
      <c r="L18" s="54">
        <f t="shared" si="1"/>
        <v>0</v>
      </c>
      <c r="M18" s="324">
        <f t="shared" ref="M18:M23" si="5">H18</f>
        <v>743416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351">
        <v>4530726</v>
      </c>
      <c r="E19" s="352">
        <v>91939.137254901958</v>
      </c>
      <c r="F19" s="351">
        <v>4438786.8627450978</v>
      </c>
      <c r="G19" s="352">
        <v>786801.66702531651</v>
      </c>
      <c r="H19" s="353">
        <v>786801.66702531651</v>
      </c>
      <c r="I19" s="52">
        <f t="shared" si="0"/>
        <v>0</v>
      </c>
      <c r="J19" s="52"/>
      <c r="K19" s="324">
        <f t="shared" si="4"/>
        <v>786801.66702531651</v>
      </c>
      <c r="L19" s="54">
        <f t="shared" si="1"/>
        <v>0</v>
      </c>
      <c r="M19" s="324">
        <f t="shared" si="5"/>
        <v>786801.66702531651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4438786.8627450978</v>
      </c>
      <c r="E20" s="352">
        <v>90171.076923076922</v>
      </c>
      <c r="F20" s="351">
        <v>4348615.7858220208</v>
      </c>
      <c r="G20" s="352">
        <v>695527.67751323315</v>
      </c>
      <c r="H20" s="353">
        <v>695527.67751323315</v>
      </c>
      <c r="I20" s="52">
        <f t="shared" si="0"/>
        <v>0</v>
      </c>
      <c r="J20" s="52"/>
      <c r="K20" s="324">
        <f t="shared" si="4"/>
        <v>695527.67751323315</v>
      </c>
      <c r="L20" s="54">
        <f t="shared" si="1"/>
        <v>0</v>
      </c>
      <c r="M20" s="324">
        <f t="shared" si="5"/>
        <v>695527.67751323315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4348615.7858220208</v>
      </c>
      <c r="E21" s="352">
        <v>90171.076923076922</v>
      </c>
      <c r="F21" s="351">
        <v>4258444.7088989438</v>
      </c>
      <c r="G21" s="352">
        <v>698305.7699783385</v>
      </c>
      <c r="H21" s="353">
        <v>698305.7699783385</v>
      </c>
      <c r="I21" s="52">
        <v>0</v>
      </c>
      <c r="J21" s="52"/>
      <c r="K21" s="324">
        <f t="shared" si="4"/>
        <v>698305.7699783385</v>
      </c>
      <c r="L21" s="54">
        <f t="shared" ref="L21:L26" si="7">IF(K21&lt;&gt;0,+G21-K21,0)</f>
        <v>0</v>
      </c>
      <c r="M21" s="324">
        <f t="shared" si="5"/>
        <v>698305.7699783385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4258444.7088989438</v>
      </c>
      <c r="E22" s="352">
        <v>90171.076923076922</v>
      </c>
      <c r="F22" s="351">
        <v>4168273.6319758669</v>
      </c>
      <c r="G22" s="352">
        <v>663970.48849892756</v>
      </c>
      <c r="H22" s="353">
        <v>663970.48849892756</v>
      </c>
      <c r="I22" s="52">
        <v>0</v>
      </c>
      <c r="J22" s="52"/>
      <c r="K22" s="324">
        <f t="shared" si="4"/>
        <v>663970.48849892756</v>
      </c>
      <c r="L22" s="54">
        <f t="shared" si="7"/>
        <v>0</v>
      </c>
      <c r="M22" s="324">
        <f t="shared" si="5"/>
        <v>663970.48849892756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351">
        <v>4168273.6319758669</v>
      </c>
      <c r="E23" s="352">
        <v>90171.076923076922</v>
      </c>
      <c r="F23" s="351">
        <v>4078102.5550527899</v>
      </c>
      <c r="G23" s="352">
        <v>652425.83265151177</v>
      </c>
      <c r="H23" s="353">
        <v>652425.83265151177</v>
      </c>
      <c r="I23" s="52">
        <v>0</v>
      </c>
      <c r="J23" s="52"/>
      <c r="K23" s="324">
        <f t="shared" si="4"/>
        <v>652425.83265151177</v>
      </c>
      <c r="L23" s="54">
        <f t="shared" si="7"/>
        <v>0</v>
      </c>
      <c r="M23" s="324">
        <f t="shared" si="5"/>
        <v>652425.83265151177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4078102.5550527899</v>
      </c>
      <c r="E24" s="352">
        <v>90171.076923076922</v>
      </c>
      <c r="F24" s="351">
        <v>3987931.4781297129</v>
      </c>
      <c r="G24" s="352">
        <v>613226.71011811122</v>
      </c>
      <c r="H24" s="353">
        <v>613226.71011811122</v>
      </c>
      <c r="I24" s="52">
        <f t="shared" si="0"/>
        <v>0</v>
      </c>
      <c r="J24" s="52"/>
      <c r="K24" s="324">
        <f t="shared" ref="K24:K29" si="10">G24</f>
        <v>613226.71011811122</v>
      </c>
      <c r="L24" s="54">
        <f t="shared" si="7"/>
        <v>0</v>
      </c>
      <c r="M24" s="324">
        <f t="shared" ref="M24:M29" si="11">H24</f>
        <v>613226.71011811122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3987931.4781297129</v>
      </c>
      <c r="E25" s="352">
        <v>101932.52173913043</v>
      </c>
      <c r="F25" s="351">
        <v>3885998.9563905825</v>
      </c>
      <c r="G25" s="352">
        <v>596467.29312714399</v>
      </c>
      <c r="H25" s="353">
        <v>596467.29312714399</v>
      </c>
      <c r="I25" s="52">
        <f t="shared" si="0"/>
        <v>0</v>
      </c>
      <c r="J25" s="385"/>
      <c r="K25" s="324">
        <f t="shared" si="10"/>
        <v>596467.29312714399</v>
      </c>
      <c r="L25" s="54">
        <f t="shared" si="7"/>
        <v>0</v>
      </c>
      <c r="M25" s="324">
        <f t="shared" si="11"/>
        <v>596467.29312714399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3885998.9563905825</v>
      </c>
      <c r="E26" s="352">
        <v>104197.68888888889</v>
      </c>
      <c r="F26" s="351">
        <v>3781801.2675016937</v>
      </c>
      <c r="G26" s="352">
        <v>563341.50507496181</v>
      </c>
      <c r="H26" s="353">
        <v>563341.50507496181</v>
      </c>
      <c r="I26" s="52">
        <f t="shared" si="0"/>
        <v>0</v>
      </c>
      <c r="J26" s="385"/>
      <c r="K26" s="324">
        <f t="shared" si="10"/>
        <v>563341.50507496181</v>
      </c>
      <c r="L26" s="54">
        <f t="shared" si="7"/>
        <v>0</v>
      </c>
      <c r="M26" s="324">
        <f t="shared" si="11"/>
        <v>563341.50507496181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3781801.2675016937</v>
      </c>
      <c r="E27" s="352">
        <v>117222.39999999999</v>
      </c>
      <c r="F27" s="351">
        <v>3664578.8675016938</v>
      </c>
      <c r="G27" s="352">
        <v>532941.26061774243</v>
      </c>
      <c r="H27" s="353">
        <v>532941.26061774243</v>
      </c>
      <c r="I27" s="52">
        <f t="shared" si="0"/>
        <v>0</v>
      </c>
      <c r="J27" s="386"/>
      <c r="K27" s="324">
        <f t="shared" si="10"/>
        <v>532941.26061774243</v>
      </c>
      <c r="L27" s="54">
        <f t="shared" ref="L27" si="12">IF(K27&lt;&gt;0,+G27-K27,0)</f>
        <v>0</v>
      </c>
      <c r="M27" s="324">
        <f t="shared" si="11"/>
        <v>532941.26061774243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3677603.5786128049</v>
      </c>
      <c r="E28" s="352">
        <v>111640.38095238095</v>
      </c>
      <c r="F28" s="351">
        <v>3565963.1976604238</v>
      </c>
      <c r="G28" s="352">
        <v>502810.28780425031</v>
      </c>
      <c r="H28" s="353">
        <v>502810.28780425031</v>
      </c>
      <c r="I28" s="52">
        <f t="shared" si="0"/>
        <v>0</v>
      </c>
      <c r="J28" s="52"/>
      <c r="K28" s="324">
        <f t="shared" si="10"/>
        <v>502810.28780425031</v>
      </c>
      <c r="L28" s="54">
        <f t="shared" ref="L28" si="15">IF(K28&lt;&gt;0,+G28-K28,0)</f>
        <v>0</v>
      </c>
      <c r="M28" s="324">
        <f t="shared" si="11"/>
        <v>502810.28780425031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3552938.4865493132</v>
      </c>
      <c r="E29" s="352">
        <v>109044.09302325582</v>
      </c>
      <c r="F29" s="351">
        <v>3443894.3935260572</v>
      </c>
      <c r="G29" s="352">
        <v>480370.47549623175</v>
      </c>
      <c r="H29" s="353">
        <v>480370.47549623175</v>
      </c>
      <c r="I29" s="52">
        <f t="shared" si="0"/>
        <v>0</v>
      </c>
      <c r="J29" s="52"/>
      <c r="K29" s="324">
        <f t="shared" si="10"/>
        <v>480370.47549623175</v>
      </c>
      <c r="L29" s="54">
        <f t="shared" ref="L29" si="16">IF(K29&lt;&gt;0,+G29-K29,0)</f>
        <v>0</v>
      </c>
      <c r="M29" s="324">
        <f t="shared" si="11"/>
        <v>480370.47549623175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3443894.3935260572</v>
      </c>
      <c r="E30" s="352">
        <v>111640.38095238095</v>
      </c>
      <c r="F30" s="351">
        <v>3332254.0125736762</v>
      </c>
      <c r="G30" s="352">
        <v>470894.83739416272</v>
      </c>
      <c r="H30" s="353">
        <v>470894.83739416272</v>
      </c>
      <c r="I30" s="52">
        <f t="shared" si="0"/>
        <v>0</v>
      </c>
      <c r="J30" s="52"/>
      <c r="K30" s="324">
        <f t="shared" ref="K30" si="17">G30</f>
        <v>470894.83739416272</v>
      </c>
      <c r="L30" s="54">
        <f t="shared" ref="L30" si="18">IF(K30&lt;&gt;0,+G30-K30,0)</f>
        <v>0</v>
      </c>
      <c r="M30" s="324">
        <f t="shared" ref="M30" si="19">H30</f>
        <v>470894.83739416272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351">
        <v>3332254.0125736762</v>
      </c>
      <c r="E31" s="352">
        <v>120228.10256410256</v>
      </c>
      <c r="F31" s="351">
        <v>3212025.9100095737</v>
      </c>
      <c r="G31" s="352">
        <v>503612.14466528577</v>
      </c>
      <c r="H31" s="353">
        <v>503612.14466528577</v>
      </c>
      <c r="I31" s="52">
        <f t="shared" si="0"/>
        <v>0</v>
      </c>
      <c r="J31" s="52"/>
      <c r="K31" s="324">
        <f t="shared" ref="K31" si="20">G31</f>
        <v>503612.14466528577</v>
      </c>
      <c r="L31" s="54">
        <f t="shared" ref="L31" si="21">IF(K31&lt;&gt;0,+G31-K31,0)</f>
        <v>0</v>
      </c>
      <c r="M31" s="324">
        <f t="shared" ref="M31" si="22">H31</f>
        <v>503612.14466528577</v>
      </c>
      <c r="N31" s="54">
        <f t="shared" ref="N31" si="23">IF(M31&lt;&gt;0,+H31-M31,0)</f>
        <v>0</v>
      </c>
      <c r="O31" s="54">
        <f t="shared" ref="O31" si="24">+N31-L31</f>
        <v>0</v>
      </c>
      <c r="P31" s="1"/>
    </row>
    <row r="32" spans="2:16" ht="12.5">
      <c r="B32" s="7" t="str">
        <f t="shared" si="6"/>
        <v/>
      </c>
      <c r="C32" s="450">
        <f>IF(D11="","-",+C31+1)</f>
        <v>2024</v>
      </c>
      <c r="D32" s="351">
        <v>3212025.9100095737</v>
      </c>
      <c r="E32" s="352">
        <v>123392</v>
      </c>
      <c r="F32" s="351">
        <v>3088633.9100095737</v>
      </c>
      <c r="G32" s="352">
        <v>474693.80028916837</v>
      </c>
      <c r="H32" s="353">
        <v>474693.80028916837</v>
      </c>
      <c r="I32" s="52">
        <f t="shared" si="0"/>
        <v>0</v>
      </c>
      <c r="J32" s="52"/>
      <c r="K32" s="324">
        <f t="shared" ref="K32" si="25">G32</f>
        <v>474693.80028916837</v>
      </c>
      <c r="L32" s="54">
        <f t="shared" ref="L32" si="26">IF(K32&lt;&gt;0,+G32-K32,0)</f>
        <v>0</v>
      </c>
      <c r="M32" s="324">
        <f t="shared" ref="M32" si="27">H32</f>
        <v>474693.80028916837</v>
      </c>
      <c r="N32" s="54">
        <f t="shared" ref="N32" si="28">IF(M32&lt;&gt;0,+H32-M32,0)</f>
        <v>0</v>
      </c>
      <c r="O32" s="54">
        <f t="shared" ref="O32" si="29">+N32-L32</f>
        <v>0</v>
      </c>
      <c r="P32" s="1"/>
    </row>
    <row r="33" spans="2:16" ht="12.5">
      <c r="B33" s="7" t="str">
        <f t="shared" si="6"/>
        <v/>
      </c>
      <c r="C33" s="454">
        <f>IF(D11="","-",+C32+1)</f>
        <v>2025</v>
      </c>
      <c r="D33" s="351">
        <v>3088633.9100095737</v>
      </c>
      <c r="E33" s="352">
        <v>123392</v>
      </c>
      <c r="F33" s="351">
        <v>2965241.9100095737</v>
      </c>
      <c r="G33" s="352">
        <v>460262.73781694262</v>
      </c>
      <c r="H33" s="353">
        <v>460262.73781694262</v>
      </c>
      <c r="I33" s="52">
        <f t="shared" si="0"/>
        <v>0</v>
      </c>
      <c r="J33" s="52"/>
      <c r="K33" s="324">
        <f t="shared" ref="K33" si="30">G33</f>
        <v>460262.73781694262</v>
      </c>
      <c r="L33" s="54">
        <f t="shared" ref="L33" si="31">IF(K33&lt;&gt;0,+G33-K33,0)</f>
        <v>0</v>
      </c>
      <c r="M33" s="324">
        <f t="shared" ref="M33" si="32">H33</f>
        <v>460262.73781694262</v>
      </c>
      <c r="N33" s="54">
        <f t="shared" ref="N33" si="33">IF(M33&lt;&gt;0,+H33-M33,0)</f>
        <v>0</v>
      </c>
      <c r="O33" s="54">
        <f t="shared" ref="O33" si="34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2965241.9100095737</v>
      </c>
      <c r="E34" s="354">
        <f>IF(+I14&lt;F33,I14,D34)</f>
        <v>123392</v>
      </c>
      <c r="F34" s="55">
        <f t="shared" ref="F34:F48" si="35">+D34-E34</f>
        <v>2841849.9100095737</v>
      </c>
      <c r="G34" s="355">
        <f t="shared" ref="G34:G72" si="36">+I$12*F34+E34</f>
        <v>457032.86860895861</v>
      </c>
      <c r="H34" s="337">
        <f t="shared" ref="H34:H72" si="37">+I$13*F34+E34</f>
        <v>457032.86860895861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2841849.9100095737</v>
      </c>
      <c r="E35" s="354">
        <f>IF(+I14&lt;F34,I14,D35)</f>
        <v>123392</v>
      </c>
      <c r="F35" s="55">
        <f t="shared" si="35"/>
        <v>2718457.9100095737</v>
      </c>
      <c r="G35" s="355">
        <f t="shared" si="36"/>
        <v>442546.31394806947</v>
      </c>
      <c r="H35" s="337">
        <f t="shared" si="37"/>
        <v>442546.31394806947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2718457.9100095737</v>
      </c>
      <c r="E36" s="354">
        <f>IF(+I14&lt;F35,I14,D36)</f>
        <v>123392</v>
      </c>
      <c r="F36" s="55">
        <f t="shared" si="35"/>
        <v>2595065.9100095737</v>
      </c>
      <c r="G36" s="355">
        <f t="shared" si="36"/>
        <v>428059.75928718032</v>
      </c>
      <c r="H36" s="337">
        <f t="shared" si="37"/>
        <v>428059.75928718032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2595065.9100095737</v>
      </c>
      <c r="E37" s="354">
        <f>IF(+I14&lt;F36,I14,D37)</f>
        <v>123392</v>
      </c>
      <c r="F37" s="55">
        <f t="shared" si="35"/>
        <v>2471673.9100095737</v>
      </c>
      <c r="G37" s="355">
        <f t="shared" si="36"/>
        <v>413573.20462629112</v>
      </c>
      <c r="H37" s="337">
        <f t="shared" si="37"/>
        <v>413573.20462629112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2471673.9100095737</v>
      </c>
      <c r="E38" s="354">
        <f>IF(+I14&lt;F37,I14,D38)</f>
        <v>123392</v>
      </c>
      <c r="F38" s="55">
        <f t="shared" si="35"/>
        <v>2348281.9100095737</v>
      </c>
      <c r="G38" s="355">
        <f t="shared" si="36"/>
        <v>399086.64996540197</v>
      </c>
      <c r="H38" s="337">
        <f t="shared" si="37"/>
        <v>399086.64996540197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2348281.9100095737</v>
      </c>
      <c r="E39" s="354">
        <f>IF(+I14&lt;F38,I14,D39)</f>
        <v>123392</v>
      </c>
      <c r="F39" s="55">
        <f t="shared" si="35"/>
        <v>2224889.9100095737</v>
      </c>
      <c r="G39" s="355">
        <f t="shared" si="36"/>
        <v>384600.09530451283</v>
      </c>
      <c r="H39" s="337">
        <f t="shared" si="37"/>
        <v>384600.09530451283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2224889.9100095737</v>
      </c>
      <c r="E40" s="354">
        <f>IF(+I14&lt;F39,I14,D40)</f>
        <v>123392</v>
      </c>
      <c r="F40" s="55">
        <f t="shared" si="35"/>
        <v>2101497.9100095737</v>
      </c>
      <c r="G40" s="355">
        <f t="shared" si="36"/>
        <v>370113.54064362368</v>
      </c>
      <c r="H40" s="337">
        <f t="shared" si="37"/>
        <v>370113.54064362368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2101497.9100095737</v>
      </c>
      <c r="E41" s="354">
        <f>IF(+I14&lt;F40,I14,D41)</f>
        <v>123392</v>
      </c>
      <c r="F41" s="55">
        <f t="shared" si="35"/>
        <v>1978105.9100095737</v>
      </c>
      <c r="G41" s="355">
        <f t="shared" si="36"/>
        <v>355626.98598273448</v>
      </c>
      <c r="H41" s="337">
        <f t="shared" si="37"/>
        <v>355626.98598273448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1978105.9100095737</v>
      </c>
      <c r="E42" s="354">
        <f>IF(+I14&lt;F41,I14,D42)</f>
        <v>123392</v>
      </c>
      <c r="F42" s="55">
        <f t="shared" si="35"/>
        <v>1854713.9100095737</v>
      </c>
      <c r="G42" s="355">
        <f t="shared" si="36"/>
        <v>341140.43132184539</v>
      </c>
      <c r="H42" s="337">
        <f t="shared" si="37"/>
        <v>341140.43132184539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1854713.9100095737</v>
      </c>
      <c r="E43" s="354">
        <f>IF(+I14&lt;F42,I14,D43)</f>
        <v>123392</v>
      </c>
      <c r="F43" s="55">
        <f t="shared" si="35"/>
        <v>1731321.9100095737</v>
      </c>
      <c r="G43" s="355">
        <f t="shared" si="36"/>
        <v>326653.87666095619</v>
      </c>
      <c r="H43" s="337">
        <f t="shared" si="37"/>
        <v>326653.87666095619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1731321.9100095737</v>
      </c>
      <c r="E44" s="354">
        <f>IF(+I14&lt;F43,I14,D44)</f>
        <v>123392</v>
      </c>
      <c r="F44" s="55">
        <f t="shared" si="35"/>
        <v>1607929.9100095737</v>
      </c>
      <c r="G44" s="355">
        <f t="shared" si="36"/>
        <v>312167.32200006704</v>
      </c>
      <c r="H44" s="337">
        <f t="shared" si="37"/>
        <v>312167.32200006704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1607929.9100095737</v>
      </c>
      <c r="E45" s="354">
        <f>IF(+I14&lt;F44,I14,D45)</f>
        <v>123392</v>
      </c>
      <c r="F45" s="55">
        <f t="shared" si="35"/>
        <v>1484537.9100095737</v>
      </c>
      <c r="G45" s="355">
        <f t="shared" si="36"/>
        <v>297680.7673391779</v>
      </c>
      <c r="H45" s="337">
        <f t="shared" si="37"/>
        <v>297680.7673391779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1484537.9100095737</v>
      </c>
      <c r="E46" s="354">
        <f>IF(+I14&lt;F45,I14,D46)</f>
        <v>123392</v>
      </c>
      <c r="F46" s="55">
        <f t="shared" si="35"/>
        <v>1361145.9100095737</v>
      </c>
      <c r="G46" s="355">
        <f t="shared" si="36"/>
        <v>283194.21267828869</v>
      </c>
      <c r="H46" s="337">
        <f t="shared" si="37"/>
        <v>283194.21267828869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1361145.9100095737</v>
      </c>
      <c r="E47" s="354">
        <f>IF(+I14&lt;F46,I14,D47)</f>
        <v>123392</v>
      </c>
      <c r="F47" s="55">
        <f t="shared" si="35"/>
        <v>1237753.9100095737</v>
      </c>
      <c r="G47" s="355">
        <f t="shared" si="36"/>
        <v>268707.6580173996</v>
      </c>
      <c r="H47" s="337">
        <f t="shared" si="37"/>
        <v>268707.6580173996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1237753.9100095737</v>
      </c>
      <c r="E48" s="354">
        <f>IF(+I14&lt;F47,I14,D48)</f>
        <v>123392</v>
      </c>
      <c r="F48" s="55">
        <f t="shared" si="35"/>
        <v>1114361.9100095737</v>
      </c>
      <c r="G48" s="355">
        <f t="shared" si="36"/>
        <v>254221.1033565104</v>
      </c>
      <c r="H48" s="337">
        <f t="shared" si="37"/>
        <v>254221.1033565104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1114361.9100095737</v>
      </c>
      <c r="E49" s="354">
        <f>IF(+I14&lt;F48,I14,D49)</f>
        <v>123392</v>
      </c>
      <c r="F49" s="55">
        <f t="shared" ref="F49:F72" si="38">+D49-E49</f>
        <v>990969.91000957368</v>
      </c>
      <c r="G49" s="355">
        <f t="shared" si="36"/>
        <v>239734.54869562126</v>
      </c>
      <c r="H49" s="337">
        <f t="shared" si="37"/>
        <v>239734.54869562126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990969.91000957368</v>
      </c>
      <c r="E50" s="354">
        <f>IF(+I14&lt;F49,I14,D50)</f>
        <v>123392</v>
      </c>
      <c r="F50" s="55">
        <f t="shared" si="38"/>
        <v>867577.91000957368</v>
      </c>
      <c r="G50" s="355">
        <f t="shared" si="36"/>
        <v>225247.99403473211</v>
      </c>
      <c r="H50" s="337">
        <f t="shared" si="37"/>
        <v>225247.99403473211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867577.91000957368</v>
      </c>
      <c r="E51" s="354">
        <f>IF(+I14&lt;F50,I14,D51)</f>
        <v>123392</v>
      </c>
      <c r="F51" s="55">
        <f t="shared" si="38"/>
        <v>744185.91000957368</v>
      </c>
      <c r="G51" s="355">
        <f t="shared" si="36"/>
        <v>210761.43937384294</v>
      </c>
      <c r="H51" s="337">
        <f t="shared" si="37"/>
        <v>210761.43937384294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744185.91000957368</v>
      </c>
      <c r="E52" s="354">
        <f>IF(+I14&lt;F51,I14,D52)</f>
        <v>123392</v>
      </c>
      <c r="F52" s="55">
        <f t="shared" si="38"/>
        <v>620793.91000957368</v>
      </c>
      <c r="G52" s="355">
        <f t="shared" si="36"/>
        <v>196274.88471295379</v>
      </c>
      <c r="H52" s="337">
        <f t="shared" si="37"/>
        <v>196274.88471295379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620793.91000957368</v>
      </c>
      <c r="E53" s="354">
        <f>IF(+I14&lt;F52,I14,D53)</f>
        <v>123392</v>
      </c>
      <c r="F53" s="55">
        <f t="shared" si="38"/>
        <v>497401.91000957368</v>
      </c>
      <c r="G53" s="355">
        <f t="shared" si="36"/>
        <v>181788.33005206462</v>
      </c>
      <c r="H53" s="337">
        <f t="shared" si="37"/>
        <v>181788.33005206462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497401.91000957368</v>
      </c>
      <c r="E54" s="354">
        <f>IF(+I14&lt;F53,I14,D54)</f>
        <v>123392</v>
      </c>
      <c r="F54" s="55">
        <f t="shared" si="38"/>
        <v>374009.91000957368</v>
      </c>
      <c r="G54" s="355">
        <f t="shared" si="36"/>
        <v>167301.77539117547</v>
      </c>
      <c r="H54" s="337">
        <f t="shared" si="37"/>
        <v>167301.77539117547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374009.91000957368</v>
      </c>
      <c r="E55" s="354">
        <f>IF(+I14&lt;F54,I14,D55)</f>
        <v>123392</v>
      </c>
      <c r="F55" s="55">
        <f t="shared" si="38"/>
        <v>250617.91000957368</v>
      </c>
      <c r="G55" s="355">
        <f t="shared" si="36"/>
        <v>152815.22073028632</v>
      </c>
      <c r="H55" s="337">
        <f t="shared" si="37"/>
        <v>152815.22073028632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250617.91000957368</v>
      </c>
      <c r="E56" s="354">
        <f>IF(+I14&lt;F55,I14,D56)</f>
        <v>123392</v>
      </c>
      <c r="F56" s="55">
        <f t="shared" si="38"/>
        <v>127225.91000957368</v>
      </c>
      <c r="G56" s="355">
        <f t="shared" si="36"/>
        <v>138328.66606939715</v>
      </c>
      <c r="H56" s="337">
        <f t="shared" si="37"/>
        <v>138328.66606939715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127225.91000957368</v>
      </c>
      <c r="E57" s="354">
        <f>IF(+I14&lt;F56,I14,D57)</f>
        <v>123392</v>
      </c>
      <c r="F57" s="55">
        <f t="shared" si="38"/>
        <v>3833.9100095736794</v>
      </c>
      <c r="G57" s="355">
        <f t="shared" si="36"/>
        <v>123842.111408508</v>
      </c>
      <c r="H57" s="337">
        <f t="shared" si="37"/>
        <v>123842.111408508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3833.9100095736794</v>
      </c>
      <c r="E58" s="354">
        <f>IF(+I14&lt;F57,I14,D58)</f>
        <v>3833.9100095736794</v>
      </c>
      <c r="F58" s="55">
        <f t="shared" si="38"/>
        <v>0</v>
      </c>
      <c r="G58" s="355">
        <f t="shared" si="36"/>
        <v>3833.9100095736794</v>
      </c>
      <c r="H58" s="337">
        <f t="shared" si="37"/>
        <v>3833.9100095736794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8"/>
        <v>0</v>
      </c>
      <c r="G59" s="355">
        <f t="shared" si="36"/>
        <v>0</v>
      </c>
      <c r="H59" s="337">
        <f t="shared" si="37"/>
        <v>0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2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2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2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2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2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2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2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2:16" ht="12.5">
      <c r="C73" s="12" t="s">
        <v>77</v>
      </c>
      <c r="D73" s="267"/>
      <c r="E73" s="267">
        <f>SUM(E17:E72)</f>
        <v>4688896</v>
      </c>
      <c r="F73" s="267"/>
      <c r="G73" s="267">
        <f>SUM(G17:G72)</f>
        <v>17164401.158290505</v>
      </c>
      <c r="H73" s="267">
        <f>SUM(H17:H72)</f>
        <v>17164401.158290505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474693.80028916837</v>
      </c>
      <c r="N87" s="364">
        <f>IF(J92&lt;D11,0,VLOOKUP(J92,C17:O72,11))</f>
        <v>474693.80028916837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545271.35205885395</v>
      </c>
      <c r="N88" s="367">
        <f>IF(J92&lt;D11,0,VLOOKUP(J92,C99:P154,7))</f>
        <v>545271.35205885395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Craig Jct. to Broken Bow Dam 138 Rebuild (7.7mi)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70577.551769685582</v>
      </c>
      <c r="N89" s="369">
        <f>+N88-N87</f>
        <v>70577.551769685582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TP2007059</v>
      </c>
      <c r="E91" s="404" t="s">
        <v>353</v>
      </c>
      <c r="F91" s="32"/>
      <c r="G91" s="452" t="s">
        <v>388</v>
      </c>
      <c r="H91" s="74"/>
      <c r="I91" s="74"/>
      <c r="J91" s="74"/>
    </row>
    <row r="92" spans="1:16" ht="13">
      <c r="C92" s="128" t="s">
        <v>226</v>
      </c>
      <c r="D92" s="336">
        <v>4688896.139999995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126727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2009</v>
      </c>
      <c r="D99" s="349">
        <v>0</v>
      </c>
      <c r="E99" s="352">
        <v>49223</v>
      </c>
      <c r="F99" s="351">
        <v>4676168</v>
      </c>
      <c r="G99" s="376">
        <v>2338084</v>
      </c>
      <c r="H99" s="377">
        <v>391070</v>
      </c>
      <c r="I99" s="378">
        <v>391070</v>
      </c>
      <c r="J99" s="54">
        <f t="shared" ref="J99:J130" si="43">+I99-H99</f>
        <v>0</v>
      </c>
      <c r="K99" s="54"/>
      <c r="L99" s="324">
        <f t="shared" ref="L99:L104" si="44">H99</f>
        <v>391070</v>
      </c>
      <c r="M99" s="53">
        <f t="shared" ref="M99:M130" si="45">IF(L99&lt;&gt;0,+H99-L99,0)</f>
        <v>0</v>
      </c>
      <c r="N99" s="324">
        <f t="shared" ref="N99:N104" si="46">I99</f>
        <v>391070</v>
      </c>
      <c r="O99" s="53">
        <f t="shared" ref="O99:O130" si="47">IF(N99&lt;&gt;0,+I99-N99,0)</f>
        <v>0</v>
      </c>
      <c r="P99" s="53">
        <f t="shared" ref="P99:P130" si="48">+O99-M99</f>
        <v>0</v>
      </c>
    </row>
    <row r="100" spans="1:16" ht="12.5">
      <c r="B100" s="7" t="str">
        <f>IF(D100=F99,"","IU")</f>
        <v>IU</v>
      </c>
      <c r="C100" s="50">
        <f>IF(D93="","-",+C99+1)</f>
        <v>2010</v>
      </c>
      <c r="D100" s="349">
        <v>4639673.1399999997</v>
      </c>
      <c r="E100" s="352">
        <v>91939</v>
      </c>
      <c r="F100" s="351">
        <v>4547734.1399999997</v>
      </c>
      <c r="G100" s="351">
        <v>4593703.6399999997</v>
      </c>
      <c r="H100" s="352">
        <v>830676.46951907186</v>
      </c>
      <c r="I100" s="353">
        <v>830676.46951907186</v>
      </c>
      <c r="J100" s="54">
        <f t="shared" si="43"/>
        <v>0</v>
      </c>
      <c r="K100" s="54"/>
      <c r="L100" s="379">
        <f t="shared" si="44"/>
        <v>830676.46951907186</v>
      </c>
      <c r="M100" s="380">
        <f t="shared" si="45"/>
        <v>0</v>
      </c>
      <c r="N100" s="379">
        <f t="shared" si="46"/>
        <v>830676.46951907186</v>
      </c>
      <c r="O100" s="54">
        <f t="shared" si="47"/>
        <v>0</v>
      </c>
      <c r="P100" s="54">
        <f t="shared" si="48"/>
        <v>0</v>
      </c>
    </row>
    <row r="101" spans="1:16" ht="12.5">
      <c r="B101" s="7" t="str">
        <f t="shared" ref="B101:B154" si="49">IF(D101=F100,"","IU")</f>
        <v/>
      </c>
      <c r="C101" s="50">
        <f>IF(D93="","-",+C100+1)</f>
        <v>2011</v>
      </c>
      <c r="D101" s="349">
        <v>4547734.1399999997</v>
      </c>
      <c r="E101" s="352">
        <v>90171</v>
      </c>
      <c r="F101" s="351">
        <v>4457563.1399999997</v>
      </c>
      <c r="G101" s="351">
        <v>4502648.6399999997</v>
      </c>
      <c r="H101" s="352">
        <v>719701.78616364778</v>
      </c>
      <c r="I101" s="353">
        <v>719701.78616364778</v>
      </c>
      <c r="J101" s="54">
        <f t="shared" si="43"/>
        <v>0</v>
      </c>
      <c r="K101" s="54"/>
      <c r="L101" s="379">
        <f t="shared" si="44"/>
        <v>719701.78616364778</v>
      </c>
      <c r="M101" s="380">
        <f t="shared" si="45"/>
        <v>0</v>
      </c>
      <c r="N101" s="379">
        <f t="shared" si="46"/>
        <v>719701.78616364778</v>
      </c>
      <c r="O101" s="54">
        <f t="shared" si="47"/>
        <v>0</v>
      </c>
      <c r="P101" s="54">
        <f t="shared" si="48"/>
        <v>0</v>
      </c>
    </row>
    <row r="102" spans="1:16" ht="12.5">
      <c r="B102" s="7" t="str">
        <f t="shared" si="49"/>
        <v/>
      </c>
      <c r="C102" s="50">
        <f>IF(D93="","-",+C101+1)</f>
        <v>2012</v>
      </c>
      <c r="D102" s="349">
        <v>4457563.1399999997</v>
      </c>
      <c r="E102" s="352">
        <v>90171</v>
      </c>
      <c r="F102" s="351">
        <v>4367392.1399999997</v>
      </c>
      <c r="G102" s="351">
        <v>4412477.6399999997</v>
      </c>
      <c r="H102" s="352">
        <v>724930.09682284109</v>
      </c>
      <c r="I102" s="353">
        <v>724930.09682284109</v>
      </c>
      <c r="J102" s="54">
        <v>0</v>
      </c>
      <c r="K102" s="54"/>
      <c r="L102" s="379">
        <f t="shared" si="44"/>
        <v>724930.09682284109</v>
      </c>
      <c r="M102" s="380">
        <f t="shared" ref="M102:M107" si="50">IF(L102&lt;&gt;0,+H102-L102,0)</f>
        <v>0</v>
      </c>
      <c r="N102" s="379">
        <f t="shared" si="46"/>
        <v>724930.09682284109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9"/>
        <v/>
      </c>
      <c r="C103" s="50">
        <f>IF(D93="","-",+C102+1)</f>
        <v>2013</v>
      </c>
      <c r="D103" s="349">
        <v>4367392.1399999997</v>
      </c>
      <c r="E103" s="352">
        <v>90171</v>
      </c>
      <c r="F103" s="351">
        <v>4277221.1399999997</v>
      </c>
      <c r="G103" s="351">
        <v>4322306.6399999997</v>
      </c>
      <c r="H103" s="352">
        <v>712322.06264393788</v>
      </c>
      <c r="I103" s="353">
        <v>712322.06264393788</v>
      </c>
      <c r="J103" s="54">
        <v>0</v>
      </c>
      <c r="K103" s="54"/>
      <c r="L103" s="379">
        <f t="shared" si="44"/>
        <v>712322.06264393788</v>
      </c>
      <c r="M103" s="380">
        <f t="shared" si="50"/>
        <v>0</v>
      </c>
      <c r="N103" s="379">
        <f t="shared" si="46"/>
        <v>712322.06264393788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9"/>
        <v/>
      </c>
      <c r="C104" s="50">
        <f>IF(D93="","-",+C103+1)</f>
        <v>2014</v>
      </c>
      <c r="D104" s="349">
        <v>4277221.1399999997</v>
      </c>
      <c r="E104" s="352">
        <v>90171</v>
      </c>
      <c r="F104" s="351">
        <v>4187050.1399999997</v>
      </c>
      <c r="G104" s="351">
        <v>4232135.6399999997</v>
      </c>
      <c r="H104" s="352">
        <v>685191.9710405051</v>
      </c>
      <c r="I104" s="353">
        <v>685191.9710405051</v>
      </c>
      <c r="J104" s="54">
        <v>0</v>
      </c>
      <c r="K104" s="54"/>
      <c r="L104" s="379">
        <f t="shared" si="44"/>
        <v>685191.9710405051</v>
      </c>
      <c r="M104" s="380">
        <f t="shared" si="50"/>
        <v>0</v>
      </c>
      <c r="N104" s="379">
        <f t="shared" si="46"/>
        <v>685191.9710405051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49"/>
        <v/>
      </c>
      <c r="C105" s="50">
        <f>IF(D93="","-",+C104+1)</f>
        <v>2015</v>
      </c>
      <c r="D105" s="349">
        <v>4187050.1399999997</v>
      </c>
      <c r="E105" s="352">
        <v>90171</v>
      </c>
      <c r="F105" s="351">
        <v>4096879.1399999997</v>
      </c>
      <c r="G105" s="351">
        <v>4141964.6399999997</v>
      </c>
      <c r="H105" s="352">
        <v>655308.7720911433</v>
      </c>
      <c r="I105" s="353">
        <v>655308.7720911433</v>
      </c>
      <c r="J105" s="54">
        <f t="shared" si="43"/>
        <v>0</v>
      </c>
      <c r="K105" s="54"/>
      <c r="L105" s="379">
        <f t="shared" ref="L105:L110" si="51">H105</f>
        <v>655308.7720911433</v>
      </c>
      <c r="M105" s="380">
        <f t="shared" si="50"/>
        <v>0</v>
      </c>
      <c r="N105" s="379">
        <f t="shared" ref="N105:N110" si="52">I105</f>
        <v>655308.7720911433</v>
      </c>
      <c r="O105" s="54">
        <f t="shared" si="47"/>
        <v>0</v>
      </c>
      <c r="P105" s="54">
        <f t="shared" si="48"/>
        <v>0</v>
      </c>
    </row>
    <row r="106" spans="1:16" ht="12.5">
      <c r="B106" s="7" t="str">
        <f t="shared" si="49"/>
        <v/>
      </c>
      <c r="C106" s="50">
        <f>IF(D93="","-",+C105+1)</f>
        <v>2016</v>
      </c>
      <c r="D106" s="349">
        <v>4096879.1399999997</v>
      </c>
      <c r="E106" s="352">
        <v>101933</v>
      </c>
      <c r="F106" s="351">
        <v>3994946.1399999997</v>
      </c>
      <c r="G106" s="351">
        <v>4045912.6399999997</v>
      </c>
      <c r="H106" s="352">
        <v>623514.8578657991</v>
      </c>
      <c r="I106" s="353">
        <v>623514.8578657991</v>
      </c>
      <c r="J106" s="54">
        <f t="shared" si="43"/>
        <v>0</v>
      </c>
      <c r="K106" s="54"/>
      <c r="L106" s="379">
        <f t="shared" si="51"/>
        <v>623514.8578657991</v>
      </c>
      <c r="M106" s="380">
        <f t="shared" si="50"/>
        <v>0</v>
      </c>
      <c r="N106" s="379">
        <f t="shared" si="52"/>
        <v>623514.8578657991</v>
      </c>
      <c r="O106" s="54">
        <f>IF(N106&lt;&gt;0,+I106-N106,0)</f>
        <v>0</v>
      </c>
      <c r="P106" s="54">
        <f>+O106-M106</f>
        <v>0</v>
      </c>
    </row>
    <row r="107" spans="1:16" ht="12.5">
      <c r="B107" s="7" t="str">
        <f t="shared" si="49"/>
        <v/>
      </c>
      <c r="C107" s="50">
        <f>IF(D93="","-",+C106+1)</f>
        <v>2017</v>
      </c>
      <c r="D107" s="349">
        <v>3994946.1399999997</v>
      </c>
      <c r="E107" s="352">
        <v>101933</v>
      </c>
      <c r="F107" s="351">
        <v>3893013.1399999997</v>
      </c>
      <c r="G107" s="351">
        <v>3943979.6399999997</v>
      </c>
      <c r="H107" s="352">
        <v>602236.76208219538</v>
      </c>
      <c r="I107" s="353">
        <v>602236.76208219538</v>
      </c>
      <c r="J107" s="54">
        <f t="shared" si="43"/>
        <v>0</v>
      </c>
      <c r="K107" s="54"/>
      <c r="L107" s="379">
        <f t="shared" si="51"/>
        <v>602236.76208219538</v>
      </c>
      <c r="M107" s="380">
        <f t="shared" si="50"/>
        <v>0</v>
      </c>
      <c r="N107" s="379">
        <f t="shared" si="52"/>
        <v>602236.76208219538</v>
      </c>
      <c r="O107" s="54">
        <f>IF(N107&lt;&gt;0,+I107-N107,0)</f>
        <v>0</v>
      </c>
      <c r="P107" s="54">
        <f>+O107-M107</f>
        <v>0</v>
      </c>
    </row>
    <row r="108" spans="1:16" ht="12.5">
      <c r="B108" s="7" t="str">
        <f t="shared" si="49"/>
        <v/>
      </c>
      <c r="C108" s="50">
        <f>IF(D93="","-",+C107+1)</f>
        <v>2018</v>
      </c>
      <c r="D108" s="349">
        <v>3893013.1399999997</v>
      </c>
      <c r="E108" s="352">
        <v>109044</v>
      </c>
      <c r="F108" s="351">
        <v>3783969.1399999997</v>
      </c>
      <c r="G108" s="351">
        <v>3838491.1399999997</v>
      </c>
      <c r="H108" s="352">
        <v>503393.56302800257</v>
      </c>
      <c r="I108" s="353">
        <v>503393.56302800257</v>
      </c>
      <c r="J108" s="54">
        <f t="shared" si="43"/>
        <v>0</v>
      </c>
      <c r="K108" s="54"/>
      <c r="L108" s="379">
        <f t="shared" si="51"/>
        <v>503393.56302800257</v>
      </c>
      <c r="M108" s="380">
        <f t="shared" ref="M108" si="53">IF(L108&lt;&gt;0,+H108-L108,0)</f>
        <v>0</v>
      </c>
      <c r="N108" s="379">
        <f t="shared" si="52"/>
        <v>503393.56302800257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49"/>
        <v/>
      </c>
      <c r="C109" s="50">
        <f>IF(D93="","-",+C108+1)</f>
        <v>2019</v>
      </c>
      <c r="D109" s="349">
        <v>3783969.1399999997</v>
      </c>
      <c r="E109" s="352">
        <v>114363</v>
      </c>
      <c r="F109" s="351">
        <v>3669606.1399999997</v>
      </c>
      <c r="G109" s="351">
        <v>3726787.6399999997</v>
      </c>
      <c r="H109" s="352">
        <v>498647.07790793071</v>
      </c>
      <c r="I109" s="353">
        <v>498647.07790793071</v>
      </c>
      <c r="J109" s="54">
        <f t="shared" si="43"/>
        <v>0</v>
      </c>
      <c r="K109" s="54"/>
      <c r="L109" s="379">
        <f t="shared" si="51"/>
        <v>498647.07790793071</v>
      </c>
      <c r="M109" s="380">
        <f t="shared" ref="M109:M110" si="54">IF(L109&lt;&gt;0,+H109-L109,0)</f>
        <v>0</v>
      </c>
      <c r="N109" s="379">
        <f t="shared" si="52"/>
        <v>498647.07790793071</v>
      </c>
      <c r="O109" s="54">
        <f t="shared" si="47"/>
        <v>0</v>
      </c>
      <c r="P109" s="54">
        <f t="shared" si="48"/>
        <v>0</v>
      </c>
    </row>
    <row r="110" spans="1:16" ht="12.5">
      <c r="B110" s="7" t="str">
        <f t="shared" si="49"/>
        <v/>
      </c>
      <c r="C110" s="50">
        <f>IF(D93="","-",+C109+1)</f>
        <v>2020</v>
      </c>
      <c r="D110" s="349">
        <v>3669606.1399999997</v>
      </c>
      <c r="E110" s="352">
        <v>109044</v>
      </c>
      <c r="F110" s="351">
        <v>3560562.1399999997</v>
      </c>
      <c r="G110" s="351">
        <v>3615084.1399999997</v>
      </c>
      <c r="H110" s="352">
        <v>525853.2624876654</v>
      </c>
      <c r="I110" s="353">
        <v>525853.2624876654</v>
      </c>
      <c r="J110" s="54">
        <f t="shared" si="43"/>
        <v>0</v>
      </c>
      <c r="K110" s="54"/>
      <c r="L110" s="379">
        <f t="shared" si="51"/>
        <v>525853.2624876654</v>
      </c>
      <c r="M110" s="380">
        <f t="shared" si="54"/>
        <v>0</v>
      </c>
      <c r="N110" s="379">
        <f t="shared" si="52"/>
        <v>525853.2624876654</v>
      </c>
      <c r="O110" s="54">
        <f t="shared" si="47"/>
        <v>0</v>
      </c>
      <c r="P110" s="54">
        <f t="shared" si="48"/>
        <v>0</v>
      </c>
    </row>
    <row r="111" spans="1:16" ht="12.5">
      <c r="B111" s="7" t="str">
        <f t="shared" si="49"/>
        <v/>
      </c>
      <c r="C111" s="50">
        <f>IF(D93="","-",+C110+1)</f>
        <v>2021</v>
      </c>
      <c r="D111" s="349">
        <v>3560562.1399999997</v>
      </c>
      <c r="E111" s="352">
        <v>114363</v>
      </c>
      <c r="F111" s="351">
        <v>3446199.1399999997</v>
      </c>
      <c r="G111" s="351">
        <v>3503380.6399999997</v>
      </c>
      <c r="H111" s="352">
        <v>513022.46807795716</v>
      </c>
      <c r="I111" s="353">
        <v>513022.46807795716</v>
      </c>
      <c r="J111" s="54">
        <f t="shared" si="43"/>
        <v>0</v>
      </c>
      <c r="K111" s="54"/>
      <c r="L111" s="379">
        <f t="shared" ref="L111" si="55">H111</f>
        <v>513022.46807795716</v>
      </c>
      <c r="M111" s="380">
        <f t="shared" ref="M111" si="56">IF(L111&lt;&gt;0,+H111-L111,0)</f>
        <v>0</v>
      </c>
      <c r="N111" s="379">
        <f t="shared" ref="N111" si="57">I111</f>
        <v>513022.46807795716</v>
      </c>
      <c r="O111" s="54">
        <f t="shared" ref="O111" si="58">IF(N111&lt;&gt;0,+I111-N111,0)</f>
        <v>0</v>
      </c>
      <c r="P111" s="54">
        <f t="shared" ref="P111" si="59">+O111-M111</f>
        <v>0</v>
      </c>
    </row>
    <row r="112" spans="1:16" ht="13">
      <c r="B112" s="7" t="str">
        <f t="shared" si="49"/>
        <v>IU</v>
      </c>
      <c r="C112" s="45">
        <f>IF(D93="","-",+C111+1)</f>
        <v>2022</v>
      </c>
      <c r="D112" s="349">
        <v>3446199</v>
      </c>
      <c r="E112" s="352">
        <v>120228</v>
      </c>
      <c r="F112" s="351">
        <v>3325971</v>
      </c>
      <c r="G112" s="351">
        <v>3386085</v>
      </c>
      <c r="H112" s="352">
        <v>493315.82816244458</v>
      </c>
      <c r="I112" s="353">
        <v>493315.82816244458</v>
      </c>
      <c r="J112" s="54">
        <v>0</v>
      </c>
      <c r="K112" s="54"/>
      <c r="L112" s="379">
        <f t="shared" ref="L112:L113" si="60">H112</f>
        <v>493315.82816244458</v>
      </c>
      <c r="M112" s="380">
        <f t="shared" ref="M112:M113" si="61">IF(L112&lt;&gt;0,+H112-L112,0)</f>
        <v>0</v>
      </c>
      <c r="N112" s="379">
        <f t="shared" ref="N112:N113" si="62">I112</f>
        <v>493315.82816244458</v>
      </c>
      <c r="O112" s="54">
        <f t="shared" ref="O112:O113" si="63">IF(N112&lt;&gt;0,+I112-N112,0)</f>
        <v>0</v>
      </c>
      <c r="P112" s="54">
        <f t="shared" ref="P112:P113" si="64">+O112-M112</f>
        <v>0</v>
      </c>
    </row>
    <row r="113" spans="2:16" ht="12.5">
      <c r="B113" s="7" t="str">
        <f t="shared" si="49"/>
        <v>IU</v>
      </c>
      <c r="C113" s="50">
        <f>IF(D93="","-",+C112+1)</f>
        <v>2023</v>
      </c>
      <c r="D113" s="349">
        <v>3325971.139999995</v>
      </c>
      <c r="E113" s="352">
        <v>123392</v>
      </c>
      <c r="F113" s="351">
        <v>3202579.139999995</v>
      </c>
      <c r="G113" s="351">
        <v>3264275.139999995</v>
      </c>
      <c r="H113" s="352">
        <v>496260.52960439096</v>
      </c>
      <c r="I113" s="353">
        <v>496260.52960439096</v>
      </c>
      <c r="J113" s="54">
        <v>0</v>
      </c>
      <c r="K113" s="54"/>
      <c r="L113" s="379">
        <f t="shared" si="60"/>
        <v>496260.52960439096</v>
      </c>
      <c r="M113" s="380">
        <f t="shared" si="61"/>
        <v>0</v>
      </c>
      <c r="N113" s="379">
        <f t="shared" si="62"/>
        <v>496260.52960439096</v>
      </c>
      <c r="O113" s="54">
        <f t="shared" si="63"/>
        <v>0</v>
      </c>
      <c r="P113" s="54">
        <f t="shared" si="64"/>
        <v>0</v>
      </c>
    </row>
    <row r="114" spans="2:16" ht="12.5">
      <c r="B114" s="7" t="str">
        <f t="shared" si="49"/>
        <v>IU</v>
      </c>
      <c r="C114" s="50">
        <f>IF(D93="","-",+C113+1)</f>
        <v>2024</v>
      </c>
      <c r="D114" s="349">
        <v>3202579</v>
      </c>
      <c r="E114" s="352">
        <v>123392</v>
      </c>
      <c r="F114" s="351">
        <v>3079187</v>
      </c>
      <c r="G114" s="351">
        <v>3140883</v>
      </c>
      <c r="H114" s="352">
        <v>545271.35205885395</v>
      </c>
      <c r="I114" s="353">
        <v>545271.35205885395</v>
      </c>
      <c r="J114" s="54">
        <f t="shared" si="43"/>
        <v>0</v>
      </c>
      <c r="K114" s="54"/>
      <c r="L114" s="379">
        <f t="shared" ref="L114" si="65">H114</f>
        <v>545271.35205885395</v>
      </c>
      <c r="M114" s="380">
        <f t="shared" ref="M114" si="66">IF(L114&lt;&gt;0,+H114-L114,0)</f>
        <v>0</v>
      </c>
      <c r="N114" s="379">
        <f t="shared" ref="N114" si="67">I114</f>
        <v>545271.35205885395</v>
      </c>
      <c r="O114" s="54">
        <f t="shared" ref="O114" si="68">IF(N114&lt;&gt;0,+I114-N114,0)</f>
        <v>0</v>
      </c>
      <c r="P114" s="54">
        <f t="shared" ref="P114" si="69">+O114-M114</f>
        <v>0</v>
      </c>
    </row>
    <row r="115" spans="2:16" ht="12.5">
      <c r="B115" s="7" t="str">
        <f t="shared" si="49"/>
        <v>IU</v>
      </c>
      <c r="C115" s="50">
        <f>IF(D93="","-",+C114+1)</f>
        <v>2025</v>
      </c>
      <c r="D115" s="12">
        <f>IF(F114+SUM(E$99:E114)=D$92,F114,D$92-SUM(E$99:E114))</f>
        <v>3079187.139999995</v>
      </c>
      <c r="E115" s="355">
        <f>IF(+J96&lt;F114,J96,D115)</f>
        <v>126727</v>
      </c>
      <c r="F115" s="55">
        <f t="shared" ref="F115:F130" si="70">+D115-E115</f>
        <v>2952460.139999995</v>
      </c>
      <c r="G115" s="55">
        <f t="shared" ref="G115:G130" si="71">+(F115+D115)/2</f>
        <v>3015823.639999995</v>
      </c>
      <c r="H115" s="356">
        <f t="shared" ref="H115:H154" si="72">+J$94*G115+E115</f>
        <v>531808.54018057091</v>
      </c>
      <c r="I115" s="381">
        <f t="shared" ref="I115:I154" si="73">+J$95*G115+E115</f>
        <v>531808.54018057091</v>
      </c>
      <c r="J115" s="54">
        <f t="shared" si="43"/>
        <v>0</v>
      </c>
      <c r="K115" s="54"/>
      <c r="L115" s="115"/>
      <c r="M115" s="54">
        <f t="shared" si="45"/>
        <v>0</v>
      </c>
      <c r="N115" s="115"/>
      <c r="O115" s="54">
        <f t="shared" si="47"/>
        <v>0</v>
      </c>
      <c r="P115" s="54">
        <f t="shared" si="48"/>
        <v>0</v>
      </c>
    </row>
    <row r="116" spans="2:16" ht="12.5">
      <c r="B116" s="7" t="str">
        <f t="shared" si="49"/>
        <v/>
      </c>
      <c r="C116" s="50">
        <f>IF(D93="","-",+C115+1)</f>
        <v>2026</v>
      </c>
      <c r="D116" s="12">
        <f>IF(F115+SUM(E$99:E115)=D$92,F115,D$92-SUM(E$99:E115))</f>
        <v>2952460.139999995</v>
      </c>
      <c r="E116" s="355">
        <f>IF(+J96&lt;F115,J96,D116)</f>
        <v>126727</v>
      </c>
      <c r="F116" s="55">
        <f t="shared" si="70"/>
        <v>2825733.139999995</v>
      </c>
      <c r="G116" s="55">
        <f t="shared" si="71"/>
        <v>2889096.639999995</v>
      </c>
      <c r="H116" s="356">
        <f t="shared" si="72"/>
        <v>514786.73304914887</v>
      </c>
      <c r="I116" s="381">
        <f t="shared" si="73"/>
        <v>514786.73304914887</v>
      </c>
      <c r="J116" s="54">
        <f t="shared" si="43"/>
        <v>0</v>
      </c>
      <c r="K116" s="54"/>
      <c r="L116" s="115"/>
      <c r="M116" s="54">
        <f t="shared" si="45"/>
        <v>0</v>
      </c>
      <c r="N116" s="115"/>
      <c r="O116" s="54">
        <f t="shared" si="47"/>
        <v>0</v>
      </c>
      <c r="P116" s="54">
        <f t="shared" si="48"/>
        <v>0</v>
      </c>
    </row>
    <row r="117" spans="2:16" ht="12.5">
      <c r="B117" s="7" t="str">
        <f t="shared" si="49"/>
        <v/>
      </c>
      <c r="C117" s="50">
        <f>IF(D93="","-",+C116+1)</f>
        <v>2027</v>
      </c>
      <c r="D117" s="12">
        <f>IF(F116+SUM(E$99:E116)=D$92,F116,D$92-SUM(E$99:E116))</f>
        <v>2825733.139999995</v>
      </c>
      <c r="E117" s="355">
        <f>IF(+J96&lt;F116,J96,D117)</f>
        <v>126727</v>
      </c>
      <c r="F117" s="55">
        <f t="shared" si="70"/>
        <v>2699006.139999995</v>
      </c>
      <c r="G117" s="55">
        <f t="shared" si="71"/>
        <v>2762369.639999995</v>
      </c>
      <c r="H117" s="356">
        <f t="shared" si="72"/>
        <v>497764.92591772677</v>
      </c>
      <c r="I117" s="381">
        <f t="shared" si="73"/>
        <v>497764.92591772677</v>
      </c>
      <c r="J117" s="54">
        <f t="shared" si="43"/>
        <v>0</v>
      </c>
      <c r="K117" s="54"/>
      <c r="L117" s="115"/>
      <c r="M117" s="54">
        <f t="shared" si="45"/>
        <v>0</v>
      </c>
      <c r="N117" s="115"/>
      <c r="O117" s="54">
        <f t="shared" si="47"/>
        <v>0</v>
      </c>
      <c r="P117" s="54">
        <f t="shared" si="48"/>
        <v>0</v>
      </c>
    </row>
    <row r="118" spans="2:16" ht="12.5">
      <c r="B118" s="7" t="str">
        <f t="shared" si="49"/>
        <v/>
      </c>
      <c r="C118" s="50">
        <f>IF(D93="","-",+C117+1)</f>
        <v>2028</v>
      </c>
      <c r="D118" s="12">
        <f>IF(F117+SUM(E$99:E117)=D$92,F117,D$92-SUM(E$99:E117))</f>
        <v>2699006.139999995</v>
      </c>
      <c r="E118" s="355">
        <f>IF(+J96&lt;F117,J96,D118)</f>
        <v>126727</v>
      </c>
      <c r="F118" s="55">
        <f t="shared" si="70"/>
        <v>2572279.139999995</v>
      </c>
      <c r="G118" s="55">
        <f t="shared" si="71"/>
        <v>2635642.639999995</v>
      </c>
      <c r="H118" s="356">
        <f t="shared" si="72"/>
        <v>480743.11878630472</v>
      </c>
      <c r="I118" s="381">
        <f t="shared" si="73"/>
        <v>480743.11878630472</v>
      </c>
      <c r="J118" s="54">
        <f t="shared" si="43"/>
        <v>0</v>
      </c>
      <c r="K118" s="54"/>
      <c r="L118" s="115"/>
      <c r="M118" s="54">
        <f t="shared" si="45"/>
        <v>0</v>
      </c>
      <c r="N118" s="115"/>
      <c r="O118" s="54">
        <f t="shared" si="47"/>
        <v>0</v>
      </c>
      <c r="P118" s="54">
        <f t="shared" si="48"/>
        <v>0</v>
      </c>
    </row>
    <row r="119" spans="2:16" ht="12.5">
      <c r="B119" s="7" t="str">
        <f t="shared" si="49"/>
        <v/>
      </c>
      <c r="C119" s="50">
        <f>IF(D93="","-",+C118+1)</f>
        <v>2029</v>
      </c>
      <c r="D119" s="12">
        <f>IF(F118+SUM(E$99:E118)=D$92,F118,D$92-SUM(E$99:E118))</f>
        <v>2572279.139999995</v>
      </c>
      <c r="E119" s="355">
        <f>IF(+J96&lt;F118,J96,D119)</f>
        <v>126727</v>
      </c>
      <c r="F119" s="55">
        <f t="shared" si="70"/>
        <v>2445552.139999995</v>
      </c>
      <c r="G119" s="55">
        <f t="shared" si="71"/>
        <v>2508915.639999995</v>
      </c>
      <c r="H119" s="356">
        <f t="shared" si="72"/>
        <v>463721.31165488262</v>
      </c>
      <c r="I119" s="381">
        <f t="shared" si="73"/>
        <v>463721.31165488262</v>
      </c>
      <c r="J119" s="54">
        <f t="shared" si="43"/>
        <v>0</v>
      </c>
      <c r="K119" s="54"/>
      <c r="L119" s="115"/>
      <c r="M119" s="54">
        <f t="shared" si="45"/>
        <v>0</v>
      </c>
      <c r="N119" s="115"/>
      <c r="O119" s="54">
        <f t="shared" si="47"/>
        <v>0</v>
      </c>
      <c r="P119" s="54">
        <f t="shared" si="48"/>
        <v>0</v>
      </c>
    </row>
    <row r="120" spans="2:16" ht="12.5">
      <c r="B120" s="7" t="str">
        <f t="shared" si="49"/>
        <v/>
      </c>
      <c r="C120" s="50">
        <f>IF(D93="","-",+C119+1)</f>
        <v>2030</v>
      </c>
      <c r="D120" s="12">
        <f>IF(F119+SUM(E$99:E119)=D$92,F119,D$92-SUM(E$99:E119))</f>
        <v>2445552.139999995</v>
      </c>
      <c r="E120" s="355">
        <f>IF(+J96&lt;F119,J96,D120)</f>
        <v>126727</v>
      </c>
      <c r="F120" s="55">
        <f t="shared" si="70"/>
        <v>2318825.139999995</v>
      </c>
      <c r="G120" s="55">
        <f t="shared" si="71"/>
        <v>2382188.639999995</v>
      </c>
      <c r="H120" s="356">
        <f t="shared" si="72"/>
        <v>446699.50452346052</v>
      </c>
      <c r="I120" s="381">
        <f t="shared" si="73"/>
        <v>446699.50452346052</v>
      </c>
      <c r="J120" s="54">
        <f t="shared" si="43"/>
        <v>0</v>
      </c>
      <c r="K120" s="54"/>
      <c r="L120" s="115"/>
      <c r="M120" s="54">
        <f t="shared" si="45"/>
        <v>0</v>
      </c>
      <c r="N120" s="115"/>
      <c r="O120" s="54">
        <f t="shared" si="47"/>
        <v>0</v>
      </c>
      <c r="P120" s="54">
        <f t="shared" si="48"/>
        <v>0</v>
      </c>
    </row>
    <row r="121" spans="2:16" ht="12.5">
      <c r="B121" s="7" t="str">
        <f t="shared" si="49"/>
        <v/>
      </c>
      <c r="C121" s="50">
        <f>IF(D93="","-",+C120+1)</f>
        <v>2031</v>
      </c>
      <c r="D121" s="12">
        <f>IF(F120+SUM(E$99:E120)=D$92,F120,D$92-SUM(E$99:E120))</f>
        <v>2318825.139999995</v>
      </c>
      <c r="E121" s="355">
        <f>IF(+J96&lt;F120,J96,D121)</f>
        <v>126727</v>
      </c>
      <c r="F121" s="55">
        <f t="shared" si="70"/>
        <v>2192098.139999995</v>
      </c>
      <c r="G121" s="55">
        <f t="shared" si="71"/>
        <v>2255461.639999995</v>
      </c>
      <c r="H121" s="356">
        <f t="shared" si="72"/>
        <v>429677.69739203848</v>
      </c>
      <c r="I121" s="381">
        <f t="shared" si="73"/>
        <v>429677.69739203848</v>
      </c>
      <c r="J121" s="54">
        <f t="shared" si="43"/>
        <v>0</v>
      </c>
      <c r="K121" s="54"/>
      <c r="L121" s="115"/>
      <c r="M121" s="54">
        <f t="shared" si="45"/>
        <v>0</v>
      </c>
      <c r="N121" s="115"/>
      <c r="O121" s="54">
        <f t="shared" si="47"/>
        <v>0</v>
      </c>
      <c r="P121" s="54">
        <f t="shared" si="48"/>
        <v>0</v>
      </c>
    </row>
    <row r="122" spans="2:16" ht="12.5">
      <c r="B122" s="7" t="str">
        <f t="shared" si="49"/>
        <v/>
      </c>
      <c r="C122" s="50">
        <f>IF(D93="","-",+C121+1)</f>
        <v>2032</v>
      </c>
      <c r="D122" s="12">
        <f>IF(F121+SUM(E$99:E121)=D$92,F121,D$92-SUM(E$99:E121))</f>
        <v>2192098.139999995</v>
      </c>
      <c r="E122" s="355">
        <f>IF(+J96&lt;F121,J96,D122)</f>
        <v>126727</v>
      </c>
      <c r="F122" s="55">
        <f t="shared" si="70"/>
        <v>2065371.139999995</v>
      </c>
      <c r="G122" s="55">
        <f t="shared" si="71"/>
        <v>2128734.639999995</v>
      </c>
      <c r="H122" s="356">
        <f t="shared" si="72"/>
        <v>412655.89026061638</v>
      </c>
      <c r="I122" s="381">
        <f t="shared" si="73"/>
        <v>412655.89026061638</v>
      </c>
      <c r="J122" s="54">
        <f t="shared" si="43"/>
        <v>0</v>
      </c>
      <c r="K122" s="54"/>
      <c r="L122" s="115"/>
      <c r="M122" s="54">
        <f t="shared" si="45"/>
        <v>0</v>
      </c>
      <c r="N122" s="115"/>
      <c r="O122" s="54">
        <f t="shared" si="47"/>
        <v>0</v>
      </c>
      <c r="P122" s="54">
        <f t="shared" si="48"/>
        <v>0</v>
      </c>
    </row>
    <row r="123" spans="2:16" ht="12.5">
      <c r="B123" s="7" t="str">
        <f t="shared" si="49"/>
        <v/>
      </c>
      <c r="C123" s="50">
        <f>IF(D93="","-",+C122+1)</f>
        <v>2033</v>
      </c>
      <c r="D123" s="12">
        <f>IF(F122+SUM(E$99:E122)=D$92,F122,D$92-SUM(E$99:E122))</f>
        <v>2065371.139999995</v>
      </c>
      <c r="E123" s="355">
        <f>IF(+J96&lt;F122,J96,D123)</f>
        <v>126727</v>
      </c>
      <c r="F123" s="55">
        <f t="shared" si="70"/>
        <v>1938644.139999995</v>
      </c>
      <c r="G123" s="55">
        <f t="shared" si="71"/>
        <v>2002007.639999995</v>
      </c>
      <c r="H123" s="356">
        <f t="shared" si="72"/>
        <v>395634.08312919427</v>
      </c>
      <c r="I123" s="381">
        <f t="shared" si="73"/>
        <v>395634.08312919427</v>
      </c>
      <c r="J123" s="54">
        <f t="shared" si="43"/>
        <v>0</v>
      </c>
      <c r="K123" s="54"/>
      <c r="L123" s="115"/>
      <c r="M123" s="54">
        <f t="shared" si="45"/>
        <v>0</v>
      </c>
      <c r="N123" s="115"/>
      <c r="O123" s="54">
        <f t="shared" si="47"/>
        <v>0</v>
      </c>
      <c r="P123" s="54">
        <f t="shared" si="48"/>
        <v>0</v>
      </c>
    </row>
    <row r="124" spans="2:16" ht="12.5">
      <c r="B124" s="7" t="str">
        <f t="shared" si="49"/>
        <v/>
      </c>
      <c r="C124" s="50">
        <f>IF(D93="","-",+C123+1)</f>
        <v>2034</v>
      </c>
      <c r="D124" s="12">
        <f>IF(F123+SUM(E$99:E123)=D$92,F123,D$92-SUM(E$99:E123))</f>
        <v>1938644.139999995</v>
      </c>
      <c r="E124" s="355">
        <f>IF(+J96&lt;F123,J96,D124)</f>
        <v>126727</v>
      </c>
      <c r="F124" s="55">
        <f t="shared" si="70"/>
        <v>1811917.139999995</v>
      </c>
      <c r="G124" s="55">
        <f t="shared" si="71"/>
        <v>1875280.639999995</v>
      </c>
      <c r="H124" s="356">
        <f t="shared" si="72"/>
        <v>378612.27599777223</v>
      </c>
      <c r="I124" s="381">
        <f t="shared" si="73"/>
        <v>378612.27599777223</v>
      </c>
      <c r="J124" s="54">
        <f t="shared" si="43"/>
        <v>0</v>
      </c>
      <c r="K124" s="54"/>
      <c r="L124" s="115"/>
      <c r="M124" s="54">
        <f t="shared" si="45"/>
        <v>0</v>
      </c>
      <c r="N124" s="115"/>
      <c r="O124" s="54">
        <f t="shared" si="47"/>
        <v>0</v>
      </c>
      <c r="P124" s="54">
        <f t="shared" si="48"/>
        <v>0</v>
      </c>
    </row>
    <row r="125" spans="2:16" ht="12.5">
      <c r="B125" s="7" t="str">
        <f t="shared" si="49"/>
        <v/>
      </c>
      <c r="C125" s="50">
        <f>IF(D93="","-",+C124+1)</f>
        <v>2035</v>
      </c>
      <c r="D125" s="12">
        <f>IF(F124+SUM(E$99:E124)=D$92,F124,D$92-SUM(E$99:E124))</f>
        <v>1811917.139999995</v>
      </c>
      <c r="E125" s="355">
        <f>IF(+J96&lt;F124,J96,D125)</f>
        <v>126727</v>
      </c>
      <c r="F125" s="55">
        <f t="shared" si="70"/>
        <v>1685190.139999995</v>
      </c>
      <c r="G125" s="55">
        <f t="shared" si="71"/>
        <v>1748553.639999995</v>
      </c>
      <c r="H125" s="356">
        <f t="shared" si="72"/>
        <v>361590.46886635013</v>
      </c>
      <c r="I125" s="381">
        <f t="shared" si="73"/>
        <v>361590.46886635013</v>
      </c>
      <c r="J125" s="54">
        <f t="shared" si="43"/>
        <v>0</v>
      </c>
      <c r="K125" s="54"/>
      <c r="L125" s="115"/>
      <c r="M125" s="54">
        <f t="shared" si="45"/>
        <v>0</v>
      </c>
      <c r="N125" s="115"/>
      <c r="O125" s="54">
        <f t="shared" si="47"/>
        <v>0</v>
      </c>
      <c r="P125" s="54">
        <f t="shared" si="48"/>
        <v>0</v>
      </c>
    </row>
    <row r="126" spans="2:16" ht="12.5">
      <c r="B126" s="7" t="str">
        <f t="shared" si="49"/>
        <v/>
      </c>
      <c r="C126" s="50">
        <f>IF(D93="","-",+C125+1)</f>
        <v>2036</v>
      </c>
      <c r="D126" s="12">
        <f>IF(F125+SUM(E$99:E125)=D$92,F125,D$92-SUM(E$99:E125))</f>
        <v>1685190.139999995</v>
      </c>
      <c r="E126" s="355">
        <f>IF(+J96&lt;F125,J96,D126)</f>
        <v>126727</v>
      </c>
      <c r="F126" s="55">
        <f t="shared" si="70"/>
        <v>1558463.139999995</v>
      </c>
      <c r="G126" s="55">
        <f t="shared" si="71"/>
        <v>1621826.639999995</v>
      </c>
      <c r="H126" s="356">
        <f t="shared" si="72"/>
        <v>344568.66173492803</v>
      </c>
      <c r="I126" s="381">
        <f t="shared" si="73"/>
        <v>344568.66173492803</v>
      </c>
      <c r="J126" s="54">
        <f t="shared" si="43"/>
        <v>0</v>
      </c>
      <c r="K126" s="54"/>
      <c r="L126" s="115"/>
      <c r="M126" s="54">
        <f t="shared" si="45"/>
        <v>0</v>
      </c>
      <c r="N126" s="115"/>
      <c r="O126" s="54">
        <f t="shared" si="47"/>
        <v>0</v>
      </c>
      <c r="P126" s="54">
        <f t="shared" si="48"/>
        <v>0</v>
      </c>
    </row>
    <row r="127" spans="2:16" ht="12.5">
      <c r="B127" s="7" t="str">
        <f t="shared" si="49"/>
        <v/>
      </c>
      <c r="C127" s="50">
        <f>IF(D93="","-",+C126+1)</f>
        <v>2037</v>
      </c>
      <c r="D127" s="12">
        <f>IF(F126+SUM(E$99:E126)=D$92,F126,D$92-SUM(E$99:E126))</f>
        <v>1558463.139999995</v>
      </c>
      <c r="E127" s="355">
        <f>IF(+J96&lt;F126,J96,D127)</f>
        <v>126727</v>
      </c>
      <c r="F127" s="55">
        <f t="shared" si="70"/>
        <v>1431736.139999995</v>
      </c>
      <c r="G127" s="55">
        <f t="shared" si="71"/>
        <v>1495099.639999995</v>
      </c>
      <c r="H127" s="356">
        <f t="shared" si="72"/>
        <v>327546.85460350598</v>
      </c>
      <c r="I127" s="381">
        <f t="shared" si="73"/>
        <v>327546.85460350598</v>
      </c>
      <c r="J127" s="54">
        <f t="shared" si="43"/>
        <v>0</v>
      </c>
      <c r="K127" s="54"/>
      <c r="L127" s="115"/>
      <c r="M127" s="54">
        <f t="shared" si="45"/>
        <v>0</v>
      </c>
      <c r="N127" s="115"/>
      <c r="O127" s="54">
        <f t="shared" si="47"/>
        <v>0</v>
      </c>
      <c r="P127" s="54">
        <f t="shared" si="48"/>
        <v>0</v>
      </c>
    </row>
    <row r="128" spans="2:16" ht="12.5">
      <c r="B128" s="7" t="str">
        <f t="shared" si="49"/>
        <v/>
      </c>
      <c r="C128" s="50">
        <f>IF(D93="","-",+C127+1)</f>
        <v>2038</v>
      </c>
      <c r="D128" s="12">
        <f>IF(F127+SUM(E$99:E127)=D$92,F127,D$92-SUM(E$99:E127))</f>
        <v>1431736.139999995</v>
      </c>
      <c r="E128" s="355">
        <f>IF(+J96&lt;F127,J96,D128)</f>
        <v>126727</v>
      </c>
      <c r="F128" s="55">
        <f t="shared" si="70"/>
        <v>1305009.139999995</v>
      </c>
      <c r="G128" s="55">
        <f t="shared" si="71"/>
        <v>1368372.639999995</v>
      </c>
      <c r="H128" s="356">
        <f t="shared" si="72"/>
        <v>310525.04747208388</v>
      </c>
      <c r="I128" s="381">
        <f t="shared" si="73"/>
        <v>310525.04747208388</v>
      </c>
      <c r="J128" s="54">
        <f t="shared" si="43"/>
        <v>0</v>
      </c>
      <c r="K128" s="54"/>
      <c r="L128" s="115"/>
      <c r="M128" s="54">
        <f t="shared" si="45"/>
        <v>0</v>
      </c>
      <c r="N128" s="115"/>
      <c r="O128" s="54">
        <f t="shared" si="47"/>
        <v>0</v>
      </c>
      <c r="P128" s="54">
        <f t="shared" si="48"/>
        <v>0</v>
      </c>
    </row>
    <row r="129" spans="2:16" ht="12.5">
      <c r="B129" s="7" t="str">
        <f t="shared" si="49"/>
        <v/>
      </c>
      <c r="C129" s="50">
        <f>IF(D93="","-",+C128+1)</f>
        <v>2039</v>
      </c>
      <c r="D129" s="12">
        <f>IF(F128+SUM(E$99:E128)=D$92,F128,D$92-SUM(E$99:E128))</f>
        <v>1305009.139999995</v>
      </c>
      <c r="E129" s="355">
        <f>IF(+J96&lt;F128,J96,D129)</f>
        <v>126727</v>
      </c>
      <c r="F129" s="55">
        <f t="shared" si="70"/>
        <v>1178282.139999995</v>
      </c>
      <c r="G129" s="55">
        <f t="shared" si="71"/>
        <v>1241645.639999995</v>
      </c>
      <c r="H129" s="356">
        <f t="shared" si="72"/>
        <v>293503.24034066184</v>
      </c>
      <c r="I129" s="381">
        <f t="shared" si="73"/>
        <v>293503.24034066184</v>
      </c>
      <c r="J129" s="54">
        <f t="shared" si="43"/>
        <v>0</v>
      </c>
      <c r="K129" s="54"/>
      <c r="L129" s="115"/>
      <c r="M129" s="54">
        <f t="shared" si="45"/>
        <v>0</v>
      </c>
      <c r="N129" s="115"/>
      <c r="O129" s="54">
        <f t="shared" si="47"/>
        <v>0</v>
      </c>
      <c r="P129" s="54">
        <f t="shared" si="48"/>
        <v>0</v>
      </c>
    </row>
    <row r="130" spans="2:16" ht="12.5">
      <c r="B130" s="7" t="str">
        <f t="shared" si="49"/>
        <v/>
      </c>
      <c r="C130" s="50">
        <f>IF(D93="","-",+C129+1)</f>
        <v>2040</v>
      </c>
      <c r="D130" s="12">
        <f>IF(F129+SUM(E$99:E129)=D$92,F129,D$92-SUM(E$99:E129))</f>
        <v>1178282.139999995</v>
      </c>
      <c r="E130" s="355">
        <f>IF(+J96&lt;F129,J96,D130)</f>
        <v>126727</v>
      </c>
      <c r="F130" s="55">
        <f t="shared" si="70"/>
        <v>1051555.139999995</v>
      </c>
      <c r="G130" s="55">
        <f t="shared" si="71"/>
        <v>1114918.639999995</v>
      </c>
      <c r="H130" s="356">
        <f t="shared" si="72"/>
        <v>276481.43320923974</v>
      </c>
      <c r="I130" s="381">
        <f t="shared" si="73"/>
        <v>276481.43320923974</v>
      </c>
      <c r="J130" s="54">
        <f t="shared" si="43"/>
        <v>0</v>
      </c>
      <c r="K130" s="54"/>
      <c r="L130" s="115"/>
      <c r="M130" s="54">
        <f t="shared" si="45"/>
        <v>0</v>
      </c>
      <c r="N130" s="115"/>
      <c r="O130" s="54">
        <f t="shared" si="47"/>
        <v>0</v>
      </c>
      <c r="P130" s="54">
        <f t="shared" si="48"/>
        <v>0</v>
      </c>
    </row>
    <row r="131" spans="2:16" ht="12.5">
      <c r="B131" s="7" t="str">
        <f t="shared" si="49"/>
        <v/>
      </c>
      <c r="C131" s="50">
        <f>IF(D93="","-",+C130+1)</f>
        <v>2041</v>
      </c>
      <c r="D131" s="12">
        <f>IF(F130+SUM(E$99:E130)=D$92,F130,D$92-SUM(E$99:E130))</f>
        <v>1051555.139999995</v>
      </c>
      <c r="E131" s="355">
        <f>IF(+J96&lt;F130,J96,D131)</f>
        <v>126727</v>
      </c>
      <c r="F131" s="55">
        <f t="shared" ref="F131:F154" si="74">+D131-E131</f>
        <v>924828.13999999501</v>
      </c>
      <c r="G131" s="55">
        <f t="shared" ref="G131:G154" si="75">+(F131+D131)/2</f>
        <v>988191.63999999501</v>
      </c>
      <c r="H131" s="356">
        <f t="shared" si="72"/>
        <v>259459.62607781764</v>
      </c>
      <c r="I131" s="381">
        <f t="shared" si="73"/>
        <v>259459.62607781764</v>
      </c>
      <c r="J131" s="54">
        <f t="shared" ref="J131:J154" si="76">+I131-H131</f>
        <v>0</v>
      </c>
      <c r="K131" s="54"/>
      <c r="L131" s="115"/>
      <c r="M131" s="54">
        <f t="shared" ref="M131:M154" si="77">IF(L131&lt;&gt;0,+H131-L131,0)</f>
        <v>0</v>
      </c>
      <c r="N131" s="115"/>
      <c r="O131" s="54">
        <f t="shared" ref="O131:O154" si="78">IF(N131&lt;&gt;0,+I131-N131,0)</f>
        <v>0</v>
      </c>
      <c r="P131" s="54">
        <f t="shared" ref="P131:P154" si="79">+O131-M131</f>
        <v>0</v>
      </c>
    </row>
    <row r="132" spans="2:16" ht="12.5">
      <c r="B132" s="7" t="str">
        <f t="shared" si="49"/>
        <v/>
      </c>
      <c r="C132" s="50">
        <f>IF(D93="","-",+C131+1)</f>
        <v>2042</v>
      </c>
      <c r="D132" s="12">
        <f>IF(F131+SUM(E$99:E131)=D$92,F131,D$92-SUM(E$99:E131))</f>
        <v>924828.13999999501</v>
      </c>
      <c r="E132" s="355">
        <f>IF(+J96&lt;F131,J96,D132)</f>
        <v>126727</v>
      </c>
      <c r="F132" s="55">
        <f t="shared" si="74"/>
        <v>798101.13999999501</v>
      </c>
      <c r="G132" s="55">
        <f t="shared" si="75"/>
        <v>861464.63999999501</v>
      </c>
      <c r="H132" s="356">
        <f t="shared" si="72"/>
        <v>242437.81894639556</v>
      </c>
      <c r="I132" s="381">
        <f t="shared" si="73"/>
        <v>242437.81894639556</v>
      </c>
      <c r="J132" s="54">
        <f t="shared" si="76"/>
        <v>0</v>
      </c>
      <c r="K132" s="54"/>
      <c r="L132" s="115"/>
      <c r="M132" s="54">
        <f t="shared" si="77"/>
        <v>0</v>
      </c>
      <c r="N132" s="115"/>
      <c r="O132" s="54">
        <f t="shared" si="78"/>
        <v>0</v>
      </c>
      <c r="P132" s="54">
        <f t="shared" si="79"/>
        <v>0</v>
      </c>
    </row>
    <row r="133" spans="2:16" ht="12.5">
      <c r="B133" s="7" t="str">
        <f t="shared" si="49"/>
        <v/>
      </c>
      <c r="C133" s="50">
        <f>IF(D93="","-",+C132+1)</f>
        <v>2043</v>
      </c>
      <c r="D133" s="12">
        <f>IF(F132+SUM(E$99:E132)=D$92,F132,D$92-SUM(E$99:E132))</f>
        <v>798101.13999999501</v>
      </c>
      <c r="E133" s="355">
        <f>IF(+J96&lt;F132,J96,D133)</f>
        <v>126727</v>
      </c>
      <c r="F133" s="55">
        <f t="shared" si="74"/>
        <v>671374.13999999501</v>
      </c>
      <c r="G133" s="55">
        <f t="shared" si="75"/>
        <v>734737.63999999501</v>
      </c>
      <c r="H133" s="356">
        <f t="shared" si="72"/>
        <v>225416.01181497349</v>
      </c>
      <c r="I133" s="381">
        <f t="shared" si="73"/>
        <v>225416.01181497349</v>
      </c>
      <c r="J133" s="54">
        <f t="shared" si="76"/>
        <v>0</v>
      </c>
      <c r="K133" s="54"/>
      <c r="L133" s="115"/>
      <c r="M133" s="54">
        <f t="shared" si="77"/>
        <v>0</v>
      </c>
      <c r="N133" s="115"/>
      <c r="O133" s="54">
        <f t="shared" si="78"/>
        <v>0</v>
      </c>
      <c r="P133" s="54">
        <f t="shared" si="79"/>
        <v>0</v>
      </c>
    </row>
    <row r="134" spans="2:16" ht="12.5">
      <c r="B134" s="7" t="str">
        <f t="shared" si="49"/>
        <v/>
      </c>
      <c r="C134" s="50">
        <f>IF(D93="","-",+C133+1)</f>
        <v>2044</v>
      </c>
      <c r="D134" s="12">
        <f>IF(F133+SUM(E$99:E133)=D$92,F133,D$92-SUM(E$99:E133))</f>
        <v>671374.13999999501</v>
      </c>
      <c r="E134" s="355">
        <f>IF(+J96&lt;F133,J96,D134)</f>
        <v>126727</v>
      </c>
      <c r="F134" s="55">
        <f t="shared" si="74"/>
        <v>544647.13999999501</v>
      </c>
      <c r="G134" s="55">
        <f t="shared" si="75"/>
        <v>608010.63999999501</v>
      </c>
      <c r="H134" s="356">
        <f t="shared" si="72"/>
        <v>208394.20468355139</v>
      </c>
      <c r="I134" s="381">
        <f t="shared" si="73"/>
        <v>208394.20468355139</v>
      </c>
      <c r="J134" s="54">
        <f t="shared" si="76"/>
        <v>0</v>
      </c>
      <c r="K134" s="54"/>
      <c r="L134" s="115"/>
      <c r="M134" s="54">
        <f t="shared" si="77"/>
        <v>0</v>
      </c>
      <c r="N134" s="115"/>
      <c r="O134" s="54">
        <f t="shared" si="78"/>
        <v>0</v>
      </c>
      <c r="P134" s="54">
        <f t="shared" si="79"/>
        <v>0</v>
      </c>
    </row>
    <row r="135" spans="2:16" ht="12.5">
      <c r="B135" s="7" t="str">
        <f t="shared" si="49"/>
        <v/>
      </c>
      <c r="C135" s="50">
        <f>IF(D93="","-",+C134+1)</f>
        <v>2045</v>
      </c>
      <c r="D135" s="12">
        <f>IF(F134+SUM(E$99:E134)=D$92,F134,D$92-SUM(E$99:E134))</f>
        <v>544647.13999999501</v>
      </c>
      <c r="E135" s="355">
        <f>IF(+J96&lt;F134,J96,D135)</f>
        <v>126727</v>
      </c>
      <c r="F135" s="55">
        <f t="shared" si="74"/>
        <v>417920.13999999501</v>
      </c>
      <c r="G135" s="55">
        <f t="shared" si="75"/>
        <v>481283.63999999501</v>
      </c>
      <c r="H135" s="356">
        <f t="shared" si="72"/>
        <v>191372.39755212932</v>
      </c>
      <c r="I135" s="381">
        <f t="shared" si="73"/>
        <v>191372.39755212932</v>
      </c>
      <c r="J135" s="54">
        <f t="shared" si="76"/>
        <v>0</v>
      </c>
      <c r="K135" s="54"/>
      <c r="L135" s="115"/>
      <c r="M135" s="54">
        <f t="shared" si="77"/>
        <v>0</v>
      </c>
      <c r="N135" s="115"/>
      <c r="O135" s="54">
        <f t="shared" si="78"/>
        <v>0</v>
      </c>
      <c r="P135" s="54">
        <f t="shared" si="79"/>
        <v>0</v>
      </c>
    </row>
    <row r="136" spans="2:16" ht="12.5">
      <c r="B136" s="7" t="str">
        <f t="shared" si="49"/>
        <v/>
      </c>
      <c r="C136" s="50">
        <f>IF(D93="","-",+C135+1)</f>
        <v>2046</v>
      </c>
      <c r="D136" s="12">
        <f>IF(F135+SUM(E$99:E135)=D$92,F135,D$92-SUM(E$99:E135))</f>
        <v>417920.13999999501</v>
      </c>
      <c r="E136" s="355">
        <f>IF(+J96&lt;F135,J96,D136)</f>
        <v>126727</v>
      </c>
      <c r="F136" s="55">
        <f t="shared" si="74"/>
        <v>291193.13999999501</v>
      </c>
      <c r="G136" s="55">
        <f t="shared" si="75"/>
        <v>354556.63999999501</v>
      </c>
      <c r="H136" s="356">
        <f t="shared" si="72"/>
        <v>174350.59042070725</v>
      </c>
      <c r="I136" s="381">
        <f t="shared" si="73"/>
        <v>174350.59042070725</v>
      </c>
      <c r="J136" s="54">
        <f t="shared" si="76"/>
        <v>0</v>
      </c>
      <c r="K136" s="54"/>
      <c r="L136" s="115"/>
      <c r="M136" s="54">
        <f t="shared" si="77"/>
        <v>0</v>
      </c>
      <c r="N136" s="115"/>
      <c r="O136" s="54">
        <f t="shared" si="78"/>
        <v>0</v>
      </c>
      <c r="P136" s="54">
        <f t="shared" si="79"/>
        <v>0</v>
      </c>
    </row>
    <row r="137" spans="2:16" ht="12.5">
      <c r="B137" s="7" t="str">
        <f t="shared" si="49"/>
        <v/>
      </c>
      <c r="C137" s="50">
        <f>IF(D93="","-",+C136+1)</f>
        <v>2047</v>
      </c>
      <c r="D137" s="12">
        <f>IF(F136+SUM(E$99:E136)=D$92,F136,D$92-SUM(E$99:E136))</f>
        <v>291193.13999999501</v>
      </c>
      <c r="E137" s="355">
        <f>IF(+J96&lt;F136,J96,D137)</f>
        <v>126727</v>
      </c>
      <c r="F137" s="55">
        <f t="shared" si="74"/>
        <v>164466.13999999501</v>
      </c>
      <c r="G137" s="55">
        <f t="shared" si="75"/>
        <v>227829.63999999501</v>
      </c>
      <c r="H137" s="356">
        <f t="shared" si="72"/>
        <v>157328.78328928517</v>
      </c>
      <c r="I137" s="381">
        <f t="shared" si="73"/>
        <v>157328.78328928517</v>
      </c>
      <c r="J137" s="54">
        <f t="shared" si="76"/>
        <v>0</v>
      </c>
      <c r="K137" s="54"/>
      <c r="L137" s="115"/>
      <c r="M137" s="54">
        <f t="shared" si="77"/>
        <v>0</v>
      </c>
      <c r="N137" s="115"/>
      <c r="O137" s="54">
        <f t="shared" si="78"/>
        <v>0</v>
      </c>
      <c r="P137" s="54">
        <f t="shared" si="79"/>
        <v>0</v>
      </c>
    </row>
    <row r="138" spans="2:16" ht="12.5">
      <c r="B138" s="7" t="str">
        <f t="shared" si="49"/>
        <v/>
      </c>
      <c r="C138" s="50">
        <f>IF(D93="","-",+C137+1)</f>
        <v>2048</v>
      </c>
      <c r="D138" s="12">
        <f>IF(F137+SUM(E$99:E137)=D$92,F137,D$92-SUM(E$99:E137))</f>
        <v>164466.13999999501</v>
      </c>
      <c r="E138" s="355">
        <f>IF(+J96&lt;F137,J96,D138)</f>
        <v>126727</v>
      </c>
      <c r="F138" s="55">
        <f t="shared" si="74"/>
        <v>37739.139999995008</v>
      </c>
      <c r="G138" s="55">
        <f t="shared" si="75"/>
        <v>101102.63999999501</v>
      </c>
      <c r="H138" s="356">
        <f t="shared" si="72"/>
        <v>140306.97615786307</v>
      </c>
      <c r="I138" s="381">
        <f t="shared" si="73"/>
        <v>140306.97615786307</v>
      </c>
      <c r="J138" s="54">
        <f t="shared" si="76"/>
        <v>0</v>
      </c>
      <c r="K138" s="54"/>
      <c r="L138" s="115"/>
      <c r="M138" s="54">
        <f t="shared" si="77"/>
        <v>0</v>
      </c>
      <c r="N138" s="115"/>
      <c r="O138" s="54">
        <f t="shared" si="78"/>
        <v>0</v>
      </c>
      <c r="P138" s="54">
        <f t="shared" si="79"/>
        <v>0</v>
      </c>
    </row>
    <row r="139" spans="2:16" ht="12.5">
      <c r="B139" s="7" t="str">
        <f t="shared" si="49"/>
        <v/>
      </c>
      <c r="C139" s="50">
        <f>IF(D93="","-",+C138+1)</f>
        <v>2049</v>
      </c>
      <c r="D139" s="12">
        <f>IF(F138+SUM(E$99:E138)=D$92,F138,D$92-SUM(E$99:E138))</f>
        <v>37739.139999995008</v>
      </c>
      <c r="E139" s="355">
        <f>IF(+J96&lt;F138,J96,D139)</f>
        <v>37739.139999995008</v>
      </c>
      <c r="F139" s="55">
        <f t="shared" si="74"/>
        <v>0</v>
      </c>
      <c r="G139" s="55">
        <f t="shared" si="75"/>
        <v>18869.569999997504</v>
      </c>
      <c r="H139" s="356">
        <f t="shared" si="72"/>
        <v>40273.676296071026</v>
      </c>
      <c r="I139" s="381">
        <f t="shared" si="73"/>
        <v>40273.676296071026</v>
      </c>
      <c r="J139" s="54">
        <f t="shared" si="76"/>
        <v>0</v>
      </c>
      <c r="K139" s="54"/>
      <c r="L139" s="115"/>
      <c r="M139" s="54">
        <f t="shared" si="77"/>
        <v>0</v>
      </c>
      <c r="N139" s="115"/>
      <c r="O139" s="54">
        <f t="shared" si="78"/>
        <v>0</v>
      </c>
      <c r="P139" s="54">
        <f t="shared" si="79"/>
        <v>0</v>
      </c>
    </row>
    <row r="140" spans="2:16" ht="12.5">
      <c r="B140" s="7" t="str">
        <f t="shared" si="49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4"/>
        <v>0</v>
      </c>
      <c r="G140" s="55">
        <f t="shared" si="75"/>
        <v>0</v>
      </c>
      <c r="H140" s="356">
        <f t="shared" si="72"/>
        <v>0</v>
      </c>
      <c r="I140" s="381">
        <f t="shared" si="73"/>
        <v>0</v>
      </c>
      <c r="J140" s="54">
        <f t="shared" si="76"/>
        <v>0</v>
      </c>
      <c r="K140" s="54"/>
      <c r="L140" s="115"/>
      <c r="M140" s="54">
        <f t="shared" si="77"/>
        <v>0</v>
      </c>
      <c r="N140" s="115"/>
      <c r="O140" s="54">
        <f t="shared" si="78"/>
        <v>0</v>
      </c>
      <c r="P140" s="54">
        <f t="shared" si="79"/>
        <v>0</v>
      </c>
    </row>
    <row r="141" spans="2:16" ht="12.5">
      <c r="B141" s="7" t="str">
        <f t="shared" si="49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4"/>
        <v>0</v>
      </c>
      <c r="G141" s="55">
        <f t="shared" si="75"/>
        <v>0</v>
      </c>
      <c r="H141" s="356">
        <f t="shared" si="72"/>
        <v>0</v>
      </c>
      <c r="I141" s="381">
        <f t="shared" si="73"/>
        <v>0</v>
      </c>
      <c r="J141" s="54">
        <f t="shared" si="76"/>
        <v>0</v>
      </c>
      <c r="K141" s="54"/>
      <c r="L141" s="115"/>
      <c r="M141" s="54">
        <f t="shared" si="77"/>
        <v>0</v>
      </c>
      <c r="N141" s="115"/>
      <c r="O141" s="54">
        <f t="shared" si="78"/>
        <v>0</v>
      </c>
      <c r="P141" s="54">
        <f t="shared" si="79"/>
        <v>0</v>
      </c>
    </row>
    <row r="142" spans="2:16" ht="12.5">
      <c r="B142" s="7" t="str">
        <f t="shared" si="49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4"/>
        <v>0</v>
      </c>
      <c r="G142" s="55">
        <f t="shared" si="75"/>
        <v>0</v>
      </c>
      <c r="H142" s="356">
        <f t="shared" si="72"/>
        <v>0</v>
      </c>
      <c r="I142" s="381">
        <f t="shared" si="73"/>
        <v>0</v>
      </c>
      <c r="J142" s="54">
        <f t="shared" si="76"/>
        <v>0</v>
      </c>
      <c r="K142" s="54"/>
      <c r="L142" s="115"/>
      <c r="M142" s="54">
        <f t="shared" si="77"/>
        <v>0</v>
      </c>
      <c r="N142" s="115"/>
      <c r="O142" s="54">
        <f t="shared" si="78"/>
        <v>0</v>
      </c>
      <c r="P142" s="54">
        <f t="shared" si="79"/>
        <v>0</v>
      </c>
    </row>
    <row r="143" spans="2:16" ht="12.5">
      <c r="B143" s="7" t="str">
        <f t="shared" si="49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4"/>
        <v>0</v>
      </c>
      <c r="G143" s="55">
        <f t="shared" si="75"/>
        <v>0</v>
      </c>
      <c r="H143" s="356">
        <f t="shared" si="72"/>
        <v>0</v>
      </c>
      <c r="I143" s="381">
        <f t="shared" si="73"/>
        <v>0</v>
      </c>
      <c r="J143" s="54">
        <f t="shared" si="76"/>
        <v>0</v>
      </c>
      <c r="K143" s="54"/>
      <c r="L143" s="115"/>
      <c r="M143" s="54">
        <f t="shared" si="77"/>
        <v>0</v>
      </c>
      <c r="N143" s="115"/>
      <c r="O143" s="54">
        <f t="shared" si="78"/>
        <v>0</v>
      </c>
      <c r="P143" s="54">
        <f t="shared" si="79"/>
        <v>0</v>
      </c>
    </row>
    <row r="144" spans="2:16" ht="12.5">
      <c r="B144" s="7" t="str">
        <f t="shared" si="49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4"/>
        <v>0</v>
      </c>
      <c r="G144" s="55">
        <f t="shared" si="75"/>
        <v>0</v>
      </c>
      <c r="H144" s="356">
        <f t="shared" si="72"/>
        <v>0</v>
      </c>
      <c r="I144" s="381">
        <f t="shared" si="73"/>
        <v>0</v>
      </c>
      <c r="J144" s="54">
        <f t="shared" si="76"/>
        <v>0</v>
      </c>
      <c r="K144" s="54"/>
      <c r="L144" s="115"/>
      <c r="M144" s="54">
        <f t="shared" si="77"/>
        <v>0</v>
      </c>
      <c r="N144" s="115"/>
      <c r="O144" s="54">
        <f t="shared" si="78"/>
        <v>0</v>
      </c>
      <c r="P144" s="54">
        <f t="shared" si="79"/>
        <v>0</v>
      </c>
    </row>
    <row r="145" spans="2:16" ht="12.5">
      <c r="B145" s="7" t="str">
        <f t="shared" si="49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4"/>
        <v>0</v>
      </c>
      <c r="G145" s="55">
        <f t="shared" si="75"/>
        <v>0</v>
      </c>
      <c r="H145" s="356">
        <f t="shared" si="72"/>
        <v>0</v>
      </c>
      <c r="I145" s="381">
        <f t="shared" si="73"/>
        <v>0</v>
      </c>
      <c r="J145" s="54">
        <f t="shared" si="76"/>
        <v>0</v>
      </c>
      <c r="K145" s="54"/>
      <c r="L145" s="115"/>
      <c r="M145" s="54">
        <f t="shared" si="77"/>
        <v>0</v>
      </c>
      <c r="N145" s="115"/>
      <c r="O145" s="54">
        <f t="shared" si="78"/>
        <v>0</v>
      </c>
      <c r="P145" s="54">
        <f t="shared" si="79"/>
        <v>0</v>
      </c>
    </row>
    <row r="146" spans="2:16" ht="12.5">
      <c r="B146" s="7" t="str">
        <f t="shared" si="49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4"/>
        <v>0</v>
      </c>
      <c r="G146" s="55">
        <f t="shared" si="75"/>
        <v>0</v>
      </c>
      <c r="H146" s="356">
        <f t="shared" si="72"/>
        <v>0</v>
      </c>
      <c r="I146" s="381">
        <f t="shared" si="73"/>
        <v>0</v>
      </c>
      <c r="J146" s="54">
        <f t="shared" si="76"/>
        <v>0</v>
      </c>
      <c r="K146" s="54"/>
      <c r="L146" s="115"/>
      <c r="M146" s="54">
        <f t="shared" si="77"/>
        <v>0</v>
      </c>
      <c r="N146" s="115"/>
      <c r="O146" s="54">
        <f t="shared" si="78"/>
        <v>0</v>
      </c>
      <c r="P146" s="54">
        <f t="shared" si="79"/>
        <v>0</v>
      </c>
    </row>
    <row r="147" spans="2:16" ht="12.5">
      <c r="B147" s="7" t="str">
        <f t="shared" si="49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4"/>
        <v>0</v>
      </c>
      <c r="G147" s="55">
        <f t="shared" si="75"/>
        <v>0</v>
      </c>
      <c r="H147" s="356">
        <f t="shared" si="72"/>
        <v>0</v>
      </c>
      <c r="I147" s="381">
        <f t="shared" si="73"/>
        <v>0</v>
      </c>
      <c r="J147" s="54">
        <f t="shared" si="76"/>
        <v>0</v>
      </c>
      <c r="K147" s="54"/>
      <c r="L147" s="115"/>
      <c r="M147" s="54">
        <f t="shared" si="77"/>
        <v>0</v>
      </c>
      <c r="N147" s="115"/>
      <c r="O147" s="54">
        <f t="shared" si="78"/>
        <v>0</v>
      </c>
      <c r="P147" s="54">
        <f t="shared" si="79"/>
        <v>0</v>
      </c>
    </row>
    <row r="148" spans="2:16" ht="12.5">
      <c r="B148" s="7" t="str">
        <f t="shared" si="49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4"/>
        <v>0</v>
      </c>
      <c r="G148" s="55">
        <f t="shared" si="75"/>
        <v>0</v>
      </c>
      <c r="H148" s="356">
        <f t="shared" si="72"/>
        <v>0</v>
      </c>
      <c r="I148" s="381">
        <f t="shared" si="73"/>
        <v>0</v>
      </c>
      <c r="J148" s="54">
        <f t="shared" si="76"/>
        <v>0</v>
      </c>
      <c r="K148" s="54"/>
      <c r="L148" s="115"/>
      <c r="M148" s="54">
        <f t="shared" si="77"/>
        <v>0</v>
      </c>
      <c r="N148" s="115"/>
      <c r="O148" s="54">
        <f t="shared" si="78"/>
        <v>0</v>
      </c>
      <c r="P148" s="54">
        <f t="shared" si="79"/>
        <v>0</v>
      </c>
    </row>
    <row r="149" spans="2:16" ht="12.5">
      <c r="B149" s="7" t="str">
        <f t="shared" si="49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4"/>
        <v>0</v>
      </c>
      <c r="G149" s="55">
        <f t="shared" si="75"/>
        <v>0</v>
      </c>
      <c r="H149" s="356">
        <f t="shared" si="72"/>
        <v>0</v>
      </c>
      <c r="I149" s="381">
        <f t="shared" si="73"/>
        <v>0</v>
      </c>
      <c r="J149" s="54">
        <f t="shared" si="76"/>
        <v>0</v>
      </c>
      <c r="K149" s="54"/>
      <c r="L149" s="115"/>
      <c r="M149" s="54">
        <f t="shared" si="77"/>
        <v>0</v>
      </c>
      <c r="N149" s="115"/>
      <c r="O149" s="54">
        <f t="shared" si="78"/>
        <v>0</v>
      </c>
      <c r="P149" s="54">
        <f t="shared" si="79"/>
        <v>0</v>
      </c>
    </row>
    <row r="150" spans="2:16" ht="12.5">
      <c r="B150" s="7" t="str">
        <f t="shared" si="49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4"/>
        <v>0</v>
      </c>
      <c r="G150" s="55">
        <f t="shared" si="75"/>
        <v>0</v>
      </c>
      <c r="H150" s="356">
        <f t="shared" si="72"/>
        <v>0</v>
      </c>
      <c r="I150" s="381">
        <f t="shared" si="73"/>
        <v>0</v>
      </c>
      <c r="J150" s="54">
        <f t="shared" si="76"/>
        <v>0</v>
      </c>
      <c r="K150" s="54"/>
      <c r="L150" s="115"/>
      <c r="M150" s="54">
        <f t="shared" si="77"/>
        <v>0</v>
      </c>
      <c r="N150" s="115"/>
      <c r="O150" s="54">
        <f t="shared" si="78"/>
        <v>0</v>
      </c>
      <c r="P150" s="54">
        <f t="shared" si="79"/>
        <v>0</v>
      </c>
    </row>
    <row r="151" spans="2:16" ht="12.5">
      <c r="B151" s="7" t="str">
        <f t="shared" si="49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4"/>
        <v>0</v>
      </c>
      <c r="G151" s="55">
        <f t="shared" si="75"/>
        <v>0</v>
      </c>
      <c r="H151" s="356">
        <f t="shared" si="72"/>
        <v>0</v>
      </c>
      <c r="I151" s="381">
        <f t="shared" si="73"/>
        <v>0</v>
      </c>
      <c r="J151" s="54">
        <f t="shared" si="76"/>
        <v>0</v>
      </c>
      <c r="K151" s="54"/>
      <c r="L151" s="115"/>
      <c r="M151" s="54">
        <f t="shared" si="77"/>
        <v>0</v>
      </c>
      <c r="N151" s="115"/>
      <c r="O151" s="54">
        <f t="shared" si="78"/>
        <v>0</v>
      </c>
      <c r="P151" s="54">
        <f t="shared" si="79"/>
        <v>0</v>
      </c>
    </row>
    <row r="152" spans="2:16" ht="12.5">
      <c r="B152" s="7" t="str">
        <f t="shared" si="49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4"/>
        <v>0</v>
      </c>
      <c r="G152" s="55">
        <f t="shared" si="75"/>
        <v>0</v>
      </c>
      <c r="H152" s="356">
        <f t="shared" si="72"/>
        <v>0</v>
      </c>
      <c r="I152" s="381">
        <f t="shared" si="73"/>
        <v>0</v>
      </c>
      <c r="J152" s="54">
        <f t="shared" si="76"/>
        <v>0</v>
      </c>
      <c r="K152" s="54"/>
      <c r="L152" s="115"/>
      <c r="M152" s="54">
        <f t="shared" si="77"/>
        <v>0</v>
      </c>
      <c r="N152" s="115"/>
      <c r="O152" s="54">
        <f t="shared" si="78"/>
        <v>0</v>
      </c>
      <c r="P152" s="54">
        <f t="shared" si="79"/>
        <v>0</v>
      </c>
    </row>
    <row r="153" spans="2:16" ht="12.5">
      <c r="B153" s="7" t="str">
        <f t="shared" si="49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4"/>
        <v>0</v>
      </c>
      <c r="G153" s="55">
        <f t="shared" si="75"/>
        <v>0</v>
      </c>
      <c r="H153" s="356">
        <f t="shared" si="72"/>
        <v>0</v>
      </c>
      <c r="I153" s="381">
        <f t="shared" si="73"/>
        <v>0</v>
      </c>
      <c r="J153" s="54">
        <f t="shared" si="76"/>
        <v>0</v>
      </c>
      <c r="K153" s="54"/>
      <c r="L153" s="115"/>
      <c r="M153" s="54">
        <f t="shared" si="77"/>
        <v>0</v>
      </c>
      <c r="N153" s="115"/>
      <c r="O153" s="54">
        <f t="shared" si="78"/>
        <v>0</v>
      </c>
      <c r="P153" s="54">
        <f t="shared" si="79"/>
        <v>0</v>
      </c>
    </row>
    <row r="154" spans="2:16" ht="13" thickBot="1">
      <c r="B154" s="7" t="str">
        <f t="shared" si="49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4"/>
        <v>0</v>
      </c>
      <c r="G154" s="59">
        <f t="shared" si="75"/>
        <v>0</v>
      </c>
      <c r="H154" s="358">
        <f t="shared" si="72"/>
        <v>0</v>
      </c>
      <c r="I154" s="383">
        <f t="shared" si="73"/>
        <v>0</v>
      </c>
      <c r="J154" s="62">
        <f t="shared" si="76"/>
        <v>0</v>
      </c>
      <c r="K154" s="54"/>
      <c r="L154" s="116"/>
      <c r="M154" s="62">
        <f t="shared" si="77"/>
        <v>0</v>
      </c>
      <c r="N154" s="116"/>
      <c r="O154" s="62">
        <f t="shared" si="78"/>
        <v>0</v>
      </c>
      <c r="P154" s="62">
        <f t="shared" si="79"/>
        <v>0</v>
      </c>
    </row>
    <row r="155" spans="2:16" ht="12.5">
      <c r="C155" s="12" t="s">
        <v>77</v>
      </c>
      <c r="D155" s="267"/>
      <c r="E155" s="267">
        <f>SUM(E99:E154)</f>
        <v>4688896.139999995</v>
      </c>
      <c r="F155" s="267"/>
      <c r="G155" s="267"/>
      <c r="H155" s="267">
        <f>SUM(H99:H154)</f>
        <v>17626376.731913663</v>
      </c>
      <c r="I155" s="267">
        <f>SUM(I99:I154)</f>
        <v>17626376.731913663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0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V162"/>
  <sheetViews>
    <sheetView topLeftCell="A103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3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1125776.1138862811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1125776.1138862811</v>
      </c>
      <c r="O6" s="1"/>
      <c r="P6" s="1"/>
    </row>
    <row r="7" spans="1:16" ht="13.5" thickBot="1">
      <c r="C7" s="26" t="s">
        <v>46</v>
      </c>
      <c r="D7" s="332" t="s">
        <v>208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81</v>
      </c>
      <c r="E9" s="404" t="s">
        <v>352</v>
      </c>
      <c r="F9" s="32"/>
      <c r="G9" s="452" t="s">
        <v>389</v>
      </c>
      <c r="H9" s="32"/>
      <c r="I9" s="33"/>
      <c r="J9" s="34"/>
      <c r="P9" s="1"/>
    </row>
    <row r="10" spans="1:16" ht="13">
      <c r="C10" s="128" t="s">
        <v>226</v>
      </c>
      <c r="D10" s="336">
        <v>11456065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10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301475.39473684208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C17" s="50">
        <f>IF(D11= "","-",D11)</f>
        <v>2009</v>
      </c>
      <c r="D17" s="349">
        <v>9403820</v>
      </c>
      <c r="E17" s="350">
        <v>29572</v>
      </c>
      <c r="F17" s="349">
        <v>9374248</v>
      </c>
      <c r="G17" s="350">
        <v>388620</v>
      </c>
      <c r="H17" s="350">
        <v>388620</v>
      </c>
      <c r="I17" s="52">
        <f t="shared" ref="I17:I48" si="0">H17-G17</f>
        <v>0</v>
      </c>
      <c r="J17" s="52"/>
      <c r="K17" s="324">
        <v>388620</v>
      </c>
      <c r="L17" s="53">
        <f t="shared" ref="L17:L48" si="1">IF(K17&lt;&gt;0,+G17-K17,0)</f>
        <v>0</v>
      </c>
      <c r="M17" s="324">
        <v>388620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12236959</v>
      </c>
      <c r="E18" s="352">
        <v>219045</v>
      </c>
      <c r="F18" s="351">
        <v>12017913</v>
      </c>
      <c r="G18" s="352">
        <v>1953188</v>
      </c>
      <c r="H18" s="353">
        <v>1953188</v>
      </c>
      <c r="I18" s="52">
        <f t="shared" si="0"/>
        <v>0</v>
      </c>
      <c r="J18" s="52"/>
      <c r="K18" s="324">
        <f t="shared" ref="K18:K23" si="4">G18</f>
        <v>1953188</v>
      </c>
      <c r="L18" s="54">
        <f t="shared" si="1"/>
        <v>0</v>
      </c>
      <c r="M18" s="324">
        <f t="shared" ref="M18:M23" si="5">H18</f>
        <v>1953188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351">
        <v>11983531</v>
      </c>
      <c r="E19" s="352">
        <v>239846.03921568627</v>
      </c>
      <c r="F19" s="351">
        <v>11743684.960784314</v>
      </c>
      <c r="G19" s="352">
        <v>2078241.729976739</v>
      </c>
      <c r="H19" s="353">
        <v>2078241.729976739</v>
      </c>
      <c r="I19" s="52">
        <f t="shared" si="0"/>
        <v>0</v>
      </c>
      <c r="J19" s="52"/>
      <c r="K19" s="324">
        <f t="shared" si="4"/>
        <v>2078241.729976739</v>
      </c>
      <c r="L19" s="54">
        <f t="shared" si="1"/>
        <v>0</v>
      </c>
      <c r="M19" s="324">
        <f t="shared" si="5"/>
        <v>2078241.729976739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11743684.960784314</v>
      </c>
      <c r="E20" s="352">
        <v>235233.61538461538</v>
      </c>
      <c r="F20" s="351">
        <v>11508451.345399698</v>
      </c>
      <c r="G20" s="352">
        <v>1837287.5395832672</v>
      </c>
      <c r="H20" s="353">
        <v>1837287.5395832672</v>
      </c>
      <c r="I20" s="52">
        <f t="shared" si="0"/>
        <v>0</v>
      </c>
      <c r="J20" s="52"/>
      <c r="K20" s="324">
        <f t="shared" si="4"/>
        <v>1837287.5395832672</v>
      </c>
      <c r="L20" s="54">
        <f t="shared" si="1"/>
        <v>0</v>
      </c>
      <c r="M20" s="324">
        <f t="shared" si="5"/>
        <v>1837287.5395832672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11508451.345399698</v>
      </c>
      <c r="E21" s="352">
        <v>235233.61538461538</v>
      </c>
      <c r="F21" s="351">
        <v>11273217.730015082</v>
      </c>
      <c r="G21" s="352">
        <v>1845125.3182548014</v>
      </c>
      <c r="H21" s="353">
        <v>1845125.3182548014</v>
      </c>
      <c r="I21" s="52">
        <v>0</v>
      </c>
      <c r="J21" s="52"/>
      <c r="K21" s="324">
        <f t="shared" si="4"/>
        <v>1845125.3182548014</v>
      </c>
      <c r="L21" s="54">
        <f t="shared" ref="L21:L26" si="7">IF(K21&lt;&gt;0,+G21-K21,0)</f>
        <v>0</v>
      </c>
      <c r="M21" s="324">
        <f t="shared" si="5"/>
        <v>1845125.3182548014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11273217.730015082</v>
      </c>
      <c r="E22" s="352">
        <v>235233.61538461538</v>
      </c>
      <c r="F22" s="351">
        <v>11037984.114630466</v>
      </c>
      <c r="G22" s="352">
        <v>1754708.9063952654</v>
      </c>
      <c r="H22" s="353">
        <v>1754708.9063952654</v>
      </c>
      <c r="I22" s="52">
        <v>0</v>
      </c>
      <c r="J22" s="52"/>
      <c r="K22" s="324">
        <f t="shared" si="4"/>
        <v>1754708.9063952654</v>
      </c>
      <c r="L22" s="54">
        <f t="shared" si="7"/>
        <v>0</v>
      </c>
      <c r="M22" s="324">
        <f t="shared" si="5"/>
        <v>1754708.9063952654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>IU</v>
      </c>
      <c r="C23" s="50">
        <f>IF(D11="","-",+C22+1)</f>
        <v>2015</v>
      </c>
      <c r="D23" s="351">
        <v>10261901.114630468</v>
      </c>
      <c r="E23" s="352">
        <v>220308.94230769231</v>
      </c>
      <c r="F23" s="351">
        <v>10041592.172322776</v>
      </c>
      <c r="G23" s="352">
        <v>1604759.8916783908</v>
      </c>
      <c r="H23" s="353">
        <v>1604759.8916783908</v>
      </c>
      <c r="I23" s="52">
        <v>0</v>
      </c>
      <c r="J23" s="52"/>
      <c r="K23" s="324">
        <f t="shared" si="4"/>
        <v>1604759.8916783908</v>
      </c>
      <c r="L23" s="54">
        <f t="shared" si="7"/>
        <v>0</v>
      </c>
      <c r="M23" s="324">
        <f t="shared" si="5"/>
        <v>1604759.8916783908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10041592.172322776</v>
      </c>
      <c r="E24" s="352">
        <v>220308.94230769231</v>
      </c>
      <c r="F24" s="351">
        <v>9821283.2300150841</v>
      </c>
      <c r="G24" s="352">
        <v>1508464.8564289983</v>
      </c>
      <c r="H24" s="353">
        <v>1508464.8564289983</v>
      </c>
      <c r="I24" s="52">
        <f t="shared" si="0"/>
        <v>0</v>
      </c>
      <c r="J24" s="52"/>
      <c r="K24" s="324">
        <f t="shared" ref="K24:K29" si="10">G24</f>
        <v>1508464.8564289983</v>
      </c>
      <c r="L24" s="54">
        <f t="shared" si="7"/>
        <v>0</v>
      </c>
      <c r="M24" s="324">
        <f t="shared" ref="M24:M29" si="11">H24</f>
        <v>1508464.8564289983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9821283.2300150841</v>
      </c>
      <c r="E25" s="352">
        <v>249044.89130434784</v>
      </c>
      <c r="F25" s="351">
        <v>9572238.3387107365</v>
      </c>
      <c r="G25" s="352">
        <v>1467214.2093174371</v>
      </c>
      <c r="H25" s="353">
        <v>1467214.2093174371</v>
      </c>
      <c r="I25" s="52">
        <f t="shared" si="0"/>
        <v>0</v>
      </c>
      <c r="J25" s="52"/>
      <c r="K25" s="324">
        <f t="shared" si="10"/>
        <v>1467214.2093174371</v>
      </c>
      <c r="L25" s="54">
        <f t="shared" si="7"/>
        <v>0</v>
      </c>
      <c r="M25" s="324">
        <f t="shared" si="11"/>
        <v>1467214.2093174371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9572238.3387107365</v>
      </c>
      <c r="E26" s="352">
        <v>254579.22222222222</v>
      </c>
      <c r="F26" s="351">
        <v>9317659.1164885145</v>
      </c>
      <c r="G26" s="352">
        <v>1385696.2768787597</v>
      </c>
      <c r="H26" s="353">
        <v>1385696.2768787597</v>
      </c>
      <c r="I26" s="52">
        <f t="shared" si="0"/>
        <v>0</v>
      </c>
      <c r="J26" s="52"/>
      <c r="K26" s="324">
        <f t="shared" si="10"/>
        <v>1385696.2768787597</v>
      </c>
      <c r="L26" s="54">
        <f t="shared" si="7"/>
        <v>0</v>
      </c>
      <c r="M26" s="324">
        <f t="shared" si="11"/>
        <v>1385696.2768787597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9317659.1164885145</v>
      </c>
      <c r="E27" s="352">
        <v>286401.625</v>
      </c>
      <c r="F27" s="351">
        <v>9031257.4914885145</v>
      </c>
      <c r="G27" s="352">
        <v>1310790.7332032048</v>
      </c>
      <c r="H27" s="353">
        <v>1310790.7332032048</v>
      </c>
      <c r="I27" s="52">
        <f t="shared" si="0"/>
        <v>0</v>
      </c>
      <c r="J27" s="52"/>
      <c r="K27" s="324">
        <f t="shared" si="10"/>
        <v>1310790.7332032048</v>
      </c>
      <c r="L27" s="54">
        <f t="shared" ref="L27" si="12">IF(K27&lt;&gt;0,+G27-K27,0)</f>
        <v>0</v>
      </c>
      <c r="M27" s="324">
        <f t="shared" si="11"/>
        <v>1310790.7332032048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9012688</v>
      </c>
      <c r="E28" s="352">
        <v>272763.45238095237</v>
      </c>
      <c r="F28" s="351">
        <v>8739924.5476190485</v>
      </c>
      <c r="G28" s="352">
        <v>1231446.9312681679</v>
      </c>
      <c r="H28" s="353">
        <v>1231446.9312681679</v>
      </c>
      <c r="I28" s="52">
        <f t="shared" si="0"/>
        <v>0</v>
      </c>
      <c r="J28" s="52"/>
      <c r="K28" s="324">
        <f t="shared" si="10"/>
        <v>1231446.9312681679</v>
      </c>
      <c r="L28" s="54">
        <f t="shared" ref="L28" si="15">IF(K28&lt;&gt;0,+G28-K28,0)</f>
        <v>0</v>
      </c>
      <c r="M28" s="324">
        <f t="shared" si="11"/>
        <v>1231446.9312681679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8758494.0391075611</v>
      </c>
      <c r="E29" s="352">
        <v>266420.11627906974</v>
      </c>
      <c r="F29" s="351">
        <v>8492073.9228284918</v>
      </c>
      <c r="G29" s="352">
        <v>1182049.5546801805</v>
      </c>
      <c r="H29" s="353">
        <v>1182049.5546801805</v>
      </c>
      <c r="I29" s="52">
        <f t="shared" si="0"/>
        <v>0</v>
      </c>
      <c r="J29" s="52"/>
      <c r="K29" s="324">
        <f t="shared" si="10"/>
        <v>1182049.5546801805</v>
      </c>
      <c r="L29" s="54">
        <f t="shared" ref="L29" si="16">IF(K29&lt;&gt;0,+G29-K29,0)</f>
        <v>0</v>
      </c>
      <c r="M29" s="324">
        <f t="shared" si="11"/>
        <v>1182049.5546801805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8492073.9228284918</v>
      </c>
      <c r="E30" s="352">
        <v>272763.45238095237</v>
      </c>
      <c r="F30" s="351">
        <v>8219310.4704475394</v>
      </c>
      <c r="G30" s="352">
        <v>1158897.5538764906</v>
      </c>
      <c r="H30" s="353">
        <v>1158897.5538764906</v>
      </c>
      <c r="I30" s="52">
        <f t="shared" si="0"/>
        <v>0</v>
      </c>
      <c r="J30" s="52"/>
      <c r="K30" s="324">
        <f t="shared" ref="K30" si="17">G30</f>
        <v>1158897.5538764906</v>
      </c>
      <c r="L30" s="54">
        <f t="shared" ref="L30" si="18">IF(K30&lt;&gt;0,+G30-K30,0)</f>
        <v>0</v>
      </c>
      <c r="M30" s="324">
        <f t="shared" ref="M30" si="19">H30</f>
        <v>1158897.5538764906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351">
        <v>8219310.4704475394</v>
      </c>
      <c r="E31" s="352">
        <v>293745.25641025644</v>
      </c>
      <c r="F31" s="351">
        <v>7925565.2140372833</v>
      </c>
      <c r="G31" s="352">
        <v>1239732.4037197519</v>
      </c>
      <c r="H31" s="353">
        <v>1239732.4037197519</v>
      </c>
      <c r="I31" s="52">
        <f t="shared" si="0"/>
        <v>0</v>
      </c>
      <c r="J31" s="52"/>
      <c r="K31" s="324">
        <f t="shared" ref="K31" si="20">G31</f>
        <v>1239732.4037197519</v>
      </c>
      <c r="L31" s="54">
        <f t="shared" ref="L31" si="21">IF(K31&lt;&gt;0,+G31-K31,0)</f>
        <v>0</v>
      </c>
      <c r="M31" s="324">
        <f t="shared" ref="M31" si="22">H31</f>
        <v>1239732.4037197519</v>
      </c>
      <c r="N31" s="54">
        <f t="shared" ref="N31" si="23">IF(M31&lt;&gt;0,+H31-M31,0)</f>
        <v>0</v>
      </c>
      <c r="O31" s="54">
        <f t="shared" ref="O31" si="24">+N31-L31</f>
        <v>0</v>
      </c>
      <c r="P31" s="1"/>
    </row>
    <row r="32" spans="2:16" ht="13">
      <c r="B32" s="7" t="str">
        <f t="shared" si="6"/>
        <v/>
      </c>
      <c r="C32" s="45">
        <f>IF(D11="","-",+C31+1)</f>
        <v>2024</v>
      </c>
      <c r="D32" s="351">
        <v>7925565.2140372833</v>
      </c>
      <c r="E32" s="352">
        <v>301475.39473684208</v>
      </c>
      <c r="F32" s="351">
        <v>7624089.8193004411</v>
      </c>
      <c r="G32" s="352">
        <v>1168640.8009077092</v>
      </c>
      <c r="H32" s="353">
        <v>1168640.8009077092</v>
      </c>
      <c r="I32" s="52">
        <f t="shared" si="0"/>
        <v>0</v>
      </c>
      <c r="J32" s="52"/>
      <c r="K32" s="324">
        <f t="shared" ref="K32" si="25">G32</f>
        <v>1168640.8009077092</v>
      </c>
      <c r="L32" s="54">
        <f t="shared" ref="L32" si="26">IF(K32&lt;&gt;0,+G32-K32,0)</f>
        <v>0</v>
      </c>
      <c r="M32" s="324">
        <f t="shared" ref="M32" si="27">H32</f>
        <v>1168640.8009077092</v>
      </c>
      <c r="N32" s="54">
        <f t="shared" ref="N32" si="28">IF(M32&lt;&gt;0,+H32-M32,0)</f>
        <v>0</v>
      </c>
      <c r="O32" s="54">
        <f t="shared" ref="O32" si="29">+N32-L32</f>
        <v>0</v>
      </c>
      <c r="P32" s="1"/>
    </row>
    <row r="33" spans="2:16" ht="12.5">
      <c r="B33" s="7" t="str">
        <f t="shared" si="6"/>
        <v/>
      </c>
      <c r="C33" s="454">
        <f>IF(D11="","-",+C32+1)</f>
        <v>2025</v>
      </c>
      <c r="D33" s="351">
        <v>7624089.8193004411</v>
      </c>
      <c r="E33" s="352">
        <v>301475.39473684208</v>
      </c>
      <c r="F33" s="351">
        <v>7322614.4245635988</v>
      </c>
      <c r="G33" s="352">
        <v>1133371.9478055129</v>
      </c>
      <c r="H33" s="353">
        <v>1133371.9478055129</v>
      </c>
      <c r="I33" s="52">
        <f t="shared" si="0"/>
        <v>0</v>
      </c>
      <c r="J33" s="52"/>
      <c r="K33" s="324">
        <f t="shared" ref="K33" si="30">G33</f>
        <v>1133371.9478055129</v>
      </c>
      <c r="L33" s="54">
        <f t="shared" ref="L33" si="31">IF(K33&lt;&gt;0,+G33-K33,0)</f>
        <v>0</v>
      </c>
      <c r="M33" s="324">
        <f t="shared" ref="M33" si="32">H33</f>
        <v>1133371.9478055129</v>
      </c>
      <c r="N33" s="54">
        <f t="shared" ref="N33" si="33">IF(M33&lt;&gt;0,+H33-M33,0)</f>
        <v>0</v>
      </c>
      <c r="O33" s="54">
        <f t="shared" ref="O33" si="34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7322614.4245635988</v>
      </c>
      <c r="E34" s="354">
        <f>IF(+I14&lt;F33,I14,D34)</f>
        <v>301475.39473684208</v>
      </c>
      <c r="F34" s="55">
        <f t="shared" ref="F34:F72" si="35">+D34-E34</f>
        <v>7021139.0298267566</v>
      </c>
      <c r="G34" s="355">
        <f t="shared" ref="G34:G72" si="36">+I$12*F34+E34</f>
        <v>1125776.1138862811</v>
      </c>
      <c r="H34" s="337">
        <f t="shared" ref="H34:H72" si="37">+I$13*F34+E34</f>
        <v>1125776.1138862811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7021139.0298267566</v>
      </c>
      <c r="E35" s="354">
        <f>IF(+I14&lt;F34,I14,D35)</f>
        <v>301475.39473684208</v>
      </c>
      <c r="F35" s="55">
        <f t="shared" si="35"/>
        <v>6719663.6350899143</v>
      </c>
      <c r="G35" s="355">
        <f t="shared" si="36"/>
        <v>1090382.0868442655</v>
      </c>
      <c r="H35" s="337">
        <f t="shared" si="37"/>
        <v>1090382.0868442655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6719663.6350899143</v>
      </c>
      <c r="E36" s="354">
        <f>IF(+I14&lt;F35,I14,D36)</f>
        <v>301475.39473684208</v>
      </c>
      <c r="F36" s="55">
        <f t="shared" si="35"/>
        <v>6418188.2403530721</v>
      </c>
      <c r="G36" s="355">
        <f t="shared" si="36"/>
        <v>1054988.0598022498</v>
      </c>
      <c r="H36" s="337">
        <f t="shared" si="37"/>
        <v>1054988.0598022498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6418188.2403530721</v>
      </c>
      <c r="E37" s="354">
        <f>IF(+I14&lt;F36,I14,D37)</f>
        <v>301475.39473684208</v>
      </c>
      <c r="F37" s="55">
        <f t="shared" si="35"/>
        <v>6116712.8456162298</v>
      </c>
      <c r="G37" s="355">
        <f t="shared" si="36"/>
        <v>1019594.0327602341</v>
      </c>
      <c r="H37" s="337">
        <f t="shared" si="37"/>
        <v>1019594.0327602341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6116712.8456162298</v>
      </c>
      <c r="E38" s="354">
        <f>IF(+I14&lt;F37,I14,D38)</f>
        <v>301475.39473684208</v>
      </c>
      <c r="F38" s="55">
        <f t="shared" si="35"/>
        <v>5815237.4508793876</v>
      </c>
      <c r="G38" s="355">
        <f t="shared" si="36"/>
        <v>984200.00571821816</v>
      </c>
      <c r="H38" s="337">
        <f t="shared" si="37"/>
        <v>984200.00571821816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5815237.4508793876</v>
      </c>
      <c r="E39" s="354">
        <f>IF(+I14&lt;F38,I14,D39)</f>
        <v>301475.39473684208</v>
      </c>
      <c r="F39" s="55">
        <f t="shared" si="35"/>
        <v>5513762.0561425453</v>
      </c>
      <c r="G39" s="355">
        <f t="shared" si="36"/>
        <v>948805.97867620247</v>
      </c>
      <c r="H39" s="337">
        <f t="shared" si="37"/>
        <v>948805.97867620247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5513762.0561425453</v>
      </c>
      <c r="E40" s="354">
        <f>IF(+I14&lt;F39,I14,D40)</f>
        <v>301475.39473684208</v>
      </c>
      <c r="F40" s="55">
        <f t="shared" si="35"/>
        <v>5212286.6614057031</v>
      </c>
      <c r="G40" s="355">
        <f t="shared" si="36"/>
        <v>913411.95163418679</v>
      </c>
      <c r="H40" s="337">
        <f t="shared" si="37"/>
        <v>913411.95163418679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5212286.6614057031</v>
      </c>
      <c r="E41" s="354">
        <f>IF(+I14&lt;F40,I14,D41)</f>
        <v>301475.39473684208</v>
      </c>
      <c r="F41" s="55">
        <f t="shared" si="35"/>
        <v>4910811.2666688608</v>
      </c>
      <c r="G41" s="355">
        <f t="shared" si="36"/>
        <v>878017.9245921711</v>
      </c>
      <c r="H41" s="337">
        <f t="shared" si="37"/>
        <v>878017.9245921711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4910811.2666688608</v>
      </c>
      <c r="E42" s="354">
        <f>IF(+I14&lt;F41,I14,D42)</f>
        <v>301475.39473684208</v>
      </c>
      <c r="F42" s="55">
        <f t="shared" si="35"/>
        <v>4609335.8719320185</v>
      </c>
      <c r="G42" s="355">
        <f t="shared" si="36"/>
        <v>842623.89755015541</v>
      </c>
      <c r="H42" s="337">
        <f t="shared" si="37"/>
        <v>842623.89755015541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4609335.8719320185</v>
      </c>
      <c r="E43" s="354">
        <f>IF(+I14&lt;F42,I14,D43)</f>
        <v>301475.39473684208</v>
      </c>
      <c r="F43" s="55">
        <f t="shared" si="35"/>
        <v>4307860.4771951763</v>
      </c>
      <c r="G43" s="355">
        <f t="shared" si="36"/>
        <v>807229.87050813972</v>
      </c>
      <c r="H43" s="337">
        <f t="shared" si="37"/>
        <v>807229.87050813972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4307860.4771951763</v>
      </c>
      <c r="E44" s="354">
        <f>IF(+I14&lt;F43,I14,D44)</f>
        <v>301475.39473684208</v>
      </c>
      <c r="F44" s="55">
        <f t="shared" si="35"/>
        <v>4006385.082458334</v>
      </c>
      <c r="G44" s="355">
        <f t="shared" si="36"/>
        <v>771835.84346612403</v>
      </c>
      <c r="H44" s="337">
        <f t="shared" si="37"/>
        <v>771835.84346612403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4006385.082458334</v>
      </c>
      <c r="E45" s="354">
        <f>IF(+I14&lt;F44,I14,D45)</f>
        <v>301475.39473684208</v>
      </c>
      <c r="F45" s="55">
        <f t="shared" si="35"/>
        <v>3704909.6877214918</v>
      </c>
      <c r="G45" s="355">
        <f t="shared" si="36"/>
        <v>736441.81642410834</v>
      </c>
      <c r="H45" s="337">
        <f t="shared" si="37"/>
        <v>736441.81642410834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3704909.6877214918</v>
      </c>
      <c r="E46" s="354">
        <f>IF(+I14&lt;F45,I14,D46)</f>
        <v>301475.39473684208</v>
      </c>
      <c r="F46" s="55">
        <f t="shared" si="35"/>
        <v>3403434.2929846495</v>
      </c>
      <c r="G46" s="355">
        <f t="shared" si="36"/>
        <v>701047.78938209265</v>
      </c>
      <c r="H46" s="337">
        <f t="shared" si="37"/>
        <v>701047.78938209265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3403434.2929846495</v>
      </c>
      <c r="E47" s="354">
        <f>IF(+I14&lt;F46,I14,D47)</f>
        <v>301475.39473684208</v>
      </c>
      <c r="F47" s="55">
        <f t="shared" si="35"/>
        <v>3101958.8982478073</v>
      </c>
      <c r="G47" s="355">
        <f t="shared" si="36"/>
        <v>665653.76234007697</v>
      </c>
      <c r="H47" s="337">
        <f t="shared" si="37"/>
        <v>665653.76234007697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3101958.8982478073</v>
      </c>
      <c r="E48" s="354">
        <f>IF(+I14&lt;F47,I14,D48)</f>
        <v>301475.39473684208</v>
      </c>
      <c r="F48" s="55">
        <f t="shared" si="35"/>
        <v>2800483.503510965</v>
      </c>
      <c r="G48" s="355">
        <f t="shared" si="36"/>
        <v>630259.73529806128</v>
      </c>
      <c r="H48" s="337">
        <f t="shared" si="37"/>
        <v>630259.73529806128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2800483.503510965</v>
      </c>
      <c r="E49" s="354">
        <f>IF(+I14&lt;F48,I14,D49)</f>
        <v>301475.39473684208</v>
      </c>
      <c r="F49" s="55">
        <f t="shared" si="35"/>
        <v>2499008.1087741228</v>
      </c>
      <c r="G49" s="355">
        <f t="shared" si="36"/>
        <v>594865.70825604559</v>
      </c>
      <c r="H49" s="337">
        <f t="shared" si="37"/>
        <v>594865.70825604559</v>
      </c>
      <c r="I49" s="52">
        <f t="shared" ref="I49:I72" si="38">H302-G302</f>
        <v>0</v>
      </c>
      <c r="J49" s="52"/>
      <c r="K49" s="115"/>
      <c r="L49" s="54">
        <f t="shared" ref="L49:L72" si="39">IF(K302&lt;&gt;0,+G302-K302,0)</f>
        <v>0</v>
      </c>
      <c r="M49" s="115"/>
      <c r="N49" s="54">
        <f t="shared" ref="N49:N72" si="40">IF(M302&lt;&gt;0,+H302-M302,0)</f>
        <v>0</v>
      </c>
      <c r="O49" s="54">
        <f t="shared" ref="O49:O72" si="41">+N302-L302</f>
        <v>0</v>
      </c>
      <c r="P49" s="1"/>
    </row>
    <row r="50" spans="2:22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2499008.1087741228</v>
      </c>
      <c r="E50" s="354">
        <f>IF(+I14&lt;F49,I14,D50)</f>
        <v>301475.39473684208</v>
      </c>
      <c r="F50" s="55">
        <f t="shared" si="35"/>
        <v>2197532.7140372805</v>
      </c>
      <c r="G50" s="355">
        <f t="shared" si="36"/>
        <v>559471.6812140299</v>
      </c>
      <c r="H50" s="337">
        <f t="shared" si="37"/>
        <v>559471.6812140299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22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2197532.7140372805</v>
      </c>
      <c r="E51" s="354">
        <f>IF(+I14&lt;F50,I14,D51)</f>
        <v>301475.39473684208</v>
      </c>
      <c r="F51" s="55">
        <f t="shared" si="35"/>
        <v>1896057.3193004385</v>
      </c>
      <c r="G51" s="355">
        <f t="shared" si="36"/>
        <v>524077.65417201427</v>
      </c>
      <c r="H51" s="337">
        <f t="shared" si="37"/>
        <v>524077.65417201427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1896057.3193004385</v>
      </c>
      <c r="E52" s="354">
        <f>IF(+I14&lt;F51,I14,D52)</f>
        <v>301475.39473684208</v>
      </c>
      <c r="F52" s="55">
        <f t="shared" si="35"/>
        <v>1594581.9245635965</v>
      </c>
      <c r="G52" s="355">
        <f t="shared" si="36"/>
        <v>488683.62712999864</v>
      </c>
      <c r="H52" s="337">
        <f t="shared" si="37"/>
        <v>488683.62712999864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22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1594581.9245635965</v>
      </c>
      <c r="E53" s="354">
        <f>IF(+I14&lt;F52,I14,D53)</f>
        <v>301475.39473684208</v>
      </c>
      <c r="F53" s="55">
        <f t="shared" si="35"/>
        <v>1293106.5298267545</v>
      </c>
      <c r="G53" s="355">
        <f t="shared" si="36"/>
        <v>453289.60008798295</v>
      </c>
      <c r="H53" s="337">
        <f t="shared" si="37"/>
        <v>453289.60008798295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22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1293106.5298267545</v>
      </c>
      <c r="E54" s="354">
        <f>IF(+I14&lt;F53,I14,D54)</f>
        <v>301475.39473684208</v>
      </c>
      <c r="F54" s="55">
        <f t="shared" si="35"/>
        <v>991631.13508991245</v>
      </c>
      <c r="G54" s="355">
        <f t="shared" si="36"/>
        <v>417895.57304596726</v>
      </c>
      <c r="H54" s="337">
        <f t="shared" si="37"/>
        <v>417895.57304596726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22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991631.13508991245</v>
      </c>
      <c r="E55" s="354">
        <f>IF(+I14&lt;F54,I14,D55)</f>
        <v>301475.39473684208</v>
      </c>
      <c r="F55" s="55">
        <f t="shared" si="35"/>
        <v>690155.74035307043</v>
      </c>
      <c r="G55" s="355">
        <f t="shared" si="36"/>
        <v>382501.54600395157</v>
      </c>
      <c r="H55" s="337">
        <f t="shared" si="37"/>
        <v>382501.54600395157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22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690155.74035307043</v>
      </c>
      <c r="E56" s="354">
        <f>IF(+I14&lt;F55,I14,D56)</f>
        <v>301475.39473684208</v>
      </c>
      <c r="F56" s="55">
        <f t="shared" si="35"/>
        <v>388680.34561622835</v>
      </c>
      <c r="G56" s="355">
        <f t="shared" si="36"/>
        <v>347107.51896193594</v>
      </c>
      <c r="H56" s="337">
        <f t="shared" si="37"/>
        <v>347107.51896193594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22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388680.34561622835</v>
      </c>
      <c r="E57" s="354">
        <f>IF(+I14&lt;F56,I14,D57)</f>
        <v>301475.39473684208</v>
      </c>
      <c r="F57" s="55">
        <f t="shared" si="35"/>
        <v>87204.950879386277</v>
      </c>
      <c r="G57" s="355">
        <f t="shared" si="36"/>
        <v>311713.49191992026</v>
      </c>
      <c r="H57" s="337">
        <f t="shared" si="37"/>
        <v>311713.49191992026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22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87204.950879386277</v>
      </c>
      <c r="E58" s="354">
        <f>IF(+I14&lt;F57,I14,D58)</f>
        <v>87204.950879386277</v>
      </c>
      <c r="F58" s="55">
        <f t="shared" si="35"/>
        <v>0</v>
      </c>
      <c r="G58" s="355">
        <f t="shared" si="36"/>
        <v>87204.950879386277</v>
      </c>
      <c r="H58" s="337">
        <f t="shared" si="37"/>
        <v>87204.950879386277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22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5"/>
        <v>0</v>
      </c>
      <c r="G59" s="355">
        <f t="shared" si="36"/>
        <v>0</v>
      </c>
      <c r="H59" s="337">
        <f t="shared" si="37"/>
        <v>0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22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5"/>
        <v>0</v>
      </c>
      <c r="G60" s="355">
        <f t="shared" si="36"/>
        <v>0</v>
      </c>
      <c r="H60" s="337">
        <f t="shared" si="37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22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5"/>
        <v>0</v>
      </c>
      <c r="G61" s="356">
        <f t="shared" si="36"/>
        <v>0</v>
      </c>
      <c r="H61" s="337">
        <f t="shared" si="37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22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5"/>
        <v>0</v>
      </c>
      <c r="G62" s="356">
        <f t="shared" si="36"/>
        <v>0</v>
      </c>
      <c r="H62" s="337">
        <f t="shared" si="37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22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5"/>
        <v>0</v>
      </c>
      <c r="G63" s="356">
        <f t="shared" si="36"/>
        <v>0</v>
      </c>
      <c r="H63" s="337">
        <f t="shared" si="37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22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5"/>
        <v>0</v>
      </c>
      <c r="G64" s="356">
        <f t="shared" si="36"/>
        <v>0</v>
      </c>
      <c r="H64" s="337">
        <f t="shared" si="37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5"/>
        <v>0</v>
      </c>
      <c r="G65" s="356">
        <f t="shared" si="36"/>
        <v>0</v>
      </c>
      <c r="H65" s="337">
        <f t="shared" si="37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5"/>
        <v>0</v>
      </c>
      <c r="G66" s="356">
        <f t="shared" si="36"/>
        <v>0</v>
      </c>
      <c r="H66" s="337">
        <f t="shared" si="37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5"/>
        <v>0</v>
      </c>
      <c r="G67" s="356">
        <f t="shared" si="36"/>
        <v>0</v>
      </c>
      <c r="H67" s="337">
        <f t="shared" si="37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5"/>
        <v>0</v>
      </c>
      <c r="G68" s="356">
        <f t="shared" si="36"/>
        <v>0</v>
      </c>
      <c r="H68" s="337">
        <f t="shared" si="37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5"/>
        <v>0</v>
      </c>
      <c r="G69" s="356">
        <f t="shared" si="36"/>
        <v>0</v>
      </c>
      <c r="H69" s="337">
        <f t="shared" si="37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5"/>
        <v>0</v>
      </c>
      <c r="G70" s="356">
        <f t="shared" si="36"/>
        <v>0</v>
      </c>
      <c r="H70" s="337">
        <f t="shared" si="37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5"/>
        <v>0</v>
      </c>
      <c r="G71" s="356">
        <f t="shared" si="36"/>
        <v>0</v>
      </c>
      <c r="H71" s="337">
        <f t="shared" si="37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5"/>
        <v>0</v>
      </c>
      <c r="G72" s="358">
        <f t="shared" si="36"/>
        <v>0</v>
      </c>
      <c r="H72" s="335">
        <f t="shared" si="37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 ht="12.5">
      <c r="C73" s="12" t="s">
        <v>77</v>
      </c>
      <c r="D73" s="267"/>
      <c r="E73" s="267">
        <f>SUM(E17:E72)</f>
        <v>11456064.999999993</v>
      </c>
      <c r="F73" s="267"/>
      <c r="G73" s="267">
        <f>SUM(G17:G72)</f>
        <v>41585316.874528475</v>
      </c>
      <c r="H73" s="267">
        <f>SUM(H17:H72)</f>
        <v>41585316.874528475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3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1168640.8009077092</v>
      </c>
      <c r="N87" s="364">
        <f>IF(J92&lt;D11,0,VLOOKUP(J92,C17:O72,11))</f>
        <v>1168640.8009077092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1336789.9814607587</v>
      </c>
      <c r="N88" s="367">
        <f>IF(J92&lt;D11,0,VLOOKUP(J92,C99:P154,7))</f>
        <v>1336789.9814607587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WFEC New 138 kV Ties: Sayre to Erick (WFEC) Line &amp; Atoka and Tupelo station work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168149.18055304955</v>
      </c>
      <c r="N89" s="369">
        <f>+N88-N87</f>
        <v>168149.18055304955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TP2006054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11456065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10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309623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2009</v>
      </c>
      <c r="D99" s="349">
        <v>0</v>
      </c>
      <c r="E99" s="352">
        <v>26281</v>
      </c>
      <c r="F99" s="351">
        <v>8804059</v>
      </c>
      <c r="G99" s="376">
        <v>4402030</v>
      </c>
      <c r="H99" s="377">
        <v>669894</v>
      </c>
      <c r="I99" s="378">
        <v>669894</v>
      </c>
      <c r="J99" s="54">
        <f t="shared" ref="J99:J130" si="42">+I99-H99</f>
        <v>0</v>
      </c>
      <c r="K99" s="54"/>
      <c r="L99" s="117">
        <f t="shared" ref="L99:L104" si="43">H99</f>
        <v>669894</v>
      </c>
      <c r="M99" s="53">
        <f t="shared" ref="M99:M130" si="44">IF(L99&lt;&gt;0,+H99-L99,0)</f>
        <v>0</v>
      </c>
      <c r="N99" s="117">
        <f t="shared" ref="N99:N104" si="45">I99</f>
        <v>669894</v>
      </c>
      <c r="O99" s="53">
        <f t="shared" ref="O99:O130" si="46">IF(N99&lt;&gt;0,+I99-N99,0)</f>
        <v>0</v>
      </c>
      <c r="P99" s="53">
        <f t="shared" ref="P99:P130" si="47">+O99-M99</f>
        <v>0</v>
      </c>
    </row>
    <row r="100" spans="1:16" ht="12.5">
      <c r="B100" s="7" t="str">
        <f>IF(D100=F99,"","IU")</f>
        <v>IU</v>
      </c>
      <c r="C100" s="50">
        <f>IF(D93="","-",+C99+1)</f>
        <v>2010</v>
      </c>
      <c r="D100" s="349">
        <v>12205867</v>
      </c>
      <c r="E100" s="352">
        <v>239846</v>
      </c>
      <c r="F100" s="351">
        <v>11966021</v>
      </c>
      <c r="G100" s="351">
        <v>12085944</v>
      </c>
      <c r="H100" s="352">
        <v>2183449.7644146364</v>
      </c>
      <c r="I100" s="353">
        <v>2183449.7644146364</v>
      </c>
      <c r="J100" s="54">
        <f t="shared" si="42"/>
        <v>0</v>
      </c>
      <c r="K100" s="54"/>
      <c r="L100" s="379">
        <f t="shared" si="43"/>
        <v>2183449.7644146364</v>
      </c>
      <c r="M100" s="380">
        <f t="shared" si="44"/>
        <v>0</v>
      </c>
      <c r="N100" s="379">
        <f t="shared" si="45"/>
        <v>2183449.7644146364</v>
      </c>
      <c r="O100" s="54">
        <f t="shared" si="46"/>
        <v>0</v>
      </c>
      <c r="P100" s="54">
        <f t="shared" si="47"/>
        <v>0</v>
      </c>
    </row>
    <row r="101" spans="1:16" ht="12.5">
      <c r="B101" s="7" t="str">
        <f t="shared" ref="B101:B154" si="48">IF(D101=F100,"","IU")</f>
        <v/>
      </c>
      <c r="C101" s="50">
        <f>IF(D93="","-",+C100+1)</f>
        <v>2011</v>
      </c>
      <c r="D101" s="349">
        <v>11966021</v>
      </c>
      <c r="E101" s="352">
        <v>235234</v>
      </c>
      <c r="F101" s="351">
        <v>11730787</v>
      </c>
      <c r="G101" s="351">
        <v>11848404</v>
      </c>
      <c r="H101" s="352">
        <v>1891800.0972614796</v>
      </c>
      <c r="I101" s="353">
        <v>1891800.0972614796</v>
      </c>
      <c r="J101" s="54">
        <f t="shared" si="42"/>
        <v>0</v>
      </c>
      <c r="K101" s="54"/>
      <c r="L101" s="379">
        <f t="shared" si="43"/>
        <v>1891800.0972614796</v>
      </c>
      <c r="M101" s="380">
        <f t="shared" si="44"/>
        <v>0</v>
      </c>
      <c r="N101" s="379">
        <f t="shared" si="45"/>
        <v>1891800.0972614796</v>
      </c>
      <c r="O101" s="54">
        <f t="shared" si="46"/>
        <v>0</v>
      </c>
      <c r="P101" s="54">
        <f t="shared" si="47"/>
        <v>0</v>
      </c>
    </row>
    <row r="102" spans="1:16" ht="12.5">
      <c r="B102" s="7" t="str">
        <f t="shared" si="48"/>
        <v/>
      </c>
      <c r="C102" s="50">
        <f>IF(D93="","-",+C101+1)</f>
        <v>2012</v>
      </c>
      <c r="D102" s="349">
        <v>11730787</v>
      </c>
      <c r="E102" s="352">
        <v>235234</v>
      </c>
      <c r="F102" s="351">
        <v>11495553</v>
      </c>
      <c r="G102" s="351">
        <v>11613170</v>
      </c>
      <c r="H102" s="352">
        <v>1905852.1655461292</v>
      </c>
      <c r="I102" s="353">
        <v>1905852.1655461292</v>
      </c>
      <c r="J102" s="54">
        <v>0</v>
      </c>
      <c r="K102" s="54"/>
      <c r="L102" s="379">
        <f t="shared" si="43"/>
        <v>1905852.1655461292</v>
      </c>
      <c r="M102" s="380">
        <f t="shared" ref="M102:M107" si="49">IF(L102&lt;&gt;0,+H102-L102,0)</f>
        <v>0</v>
      </c>
      <c r="N102" s="379">
        <f t="shared" si="45"/>
        <v>1905852.1655461292</v>
      </c>
      <c r="O102" s="54">
        <f t="shared" ref="O102:O107" si="50">IF(N102&lt;&gt;0,+I102-N102,0)</f>
        <v>0</v>
      </c>
      <c r="P102" s="54">
        <f t="shared" ref="P102:P107" si="51">+O102-M102</f>
        <v>0</v>
      </c>
    </row>
    <row r="103" spans="1:16" ht="12.5">
      <c r="B103" s="7" t="str">
        <f t="shared" si="48"/>
        <v/>
      </c>
      <c r="C103" s="50">
        <f>IF(D93="","-",+C102+1)</f>
        <v>2013</v>
      </c>
      <c r="D103" s="349">
        <v>11495553</v>
      </c>
      <c r="E103" s="352">
        <v>235234</v>
      </c>
      <c r="F103" s="351">
        <v>11260319</v>
      </c>
      <c r="G103" s="351">
        <v>11377936</v>
      </c>
      <c r="H103" s="352">
        <v>1872969.4877104962</v>
      </c>
      <c r="I103" s="353">
        <v>1872969.4877104962</v>
      </c>
      <c r="J103" s="54">
        <v>0</v>
      </c>
      <c r="K103" s="54"/>
      <c r="L103" s="379">
        <f t="shared" si="43"/>
        <v>1872969.4877104962</v>
      </c>
      <c r="M103" s="380">
        <f t="shared" si="49"/>
        <v>0</v>
      </c>
      <c r="N103" s="379">
        <f t="shared" si="45"/>
        <v>1872969.4877104962</v>
      </c>
      <c r="O103" s="54">
        <f t="shared" si="50"/>
        <v>0</v>
      </c>
      <c r="P103" s="54">
        <f t="shared" si="51"/>
        <v>0</v>
      </c>
    </row>
    <row r="104" spans="1:16" ht="12.5">
      <c r="B104" s="7" t="str">
        <f t="shared" si="48"/>
        <v>IU</v>
      </c>
      <c r="C104" s="50">
        <f>IF(D93="","-",+C103+1)</f>
        <v>2014</v>
      </c>
      <c r="D104" s="349">
        <v>10484236</v>
      </c>
      <c r="E104" s="352">
        <v>220309</v>
      </c>
      <c r="F104" s="351">
        <v>10263927</v>
      </c>
      <c r="G104" s="351">
        <v>10374081.5</v>
      </c>
      <c r="H104" s="352">
        <v>1678862.4521722798</v>
      </c>
      <c r="I104" s="353">
        <v>1678862.4521722798</v>
      </c>
      <c r="J104" s="54">
        <v>0</v>
      </c>
      <c r="K104" s="54"/>
      <c r="L104" s="379">
        <f t="shared" si="43"/>
        <v>1678862.4521722798</v>
      </c>
      <c r="M104" s="380">
        <f t="shared" si="49"/>
        <v>0</v>
      </c>
      <c r="N104" s="379">
        <f t="shared" si="45"/>
        <v>1678862.4521722798</v>
      </c>
      <c r="O104" s="54">
        <f t="shared" si="50"/>
        <v>0</v>
      </c>
      <c r="P104" s="54">
        <f t="shared" si="51"/>
        <v>0</v>
      </c>
    </row>
    <row r="105" spans="1:16" ht="12.5">
      <c r="B105" s="7" t="str">
        <f t="shared" si="48"/>
        <v/>
      </c>
      <c r="C105" s="50">
        <f>IF(D93="","-",+C104+1)</f>
        <v>2015</v>
      </c>
      <c r="D105" s="349">
        <v>10263927</v>
      </c>
      <c r="E105" s="352">
        <v>220309</v>
      </c>
      <c r="F105" s="351">
        <v>10043618</v>
      </c>
      <c r="G105" s="351">
        <v>10153772.5</v>
      </c>
      <c r="H105" s="352">
        <v>1605709.6172709188</v>
      </c>
      <c r="I105" s="353">
        <v>1605709.6172709188</v>
      </c>
      <c r="J105" s="54">
        <f t="shared" si="42"/>
        <v>0</v>
      </c>
      <c r="K105" s="54"/>
      <c r="L105" s="379">
        <f t="shared" ref="L105:L110" si="52">H105</f>
        <v>1605709.6172709188</v>
      </c>
      <c r="M105" s="380">
        <f t="shared" si="49"/>
        <v>0</v>
      </c>
      <c r="N105" s="379">
        <f t="shared" ref="N105:N110" si="53">I105</f>
        <v>1605709.6172709188</v>
      </c>
      <c r="O105" s="54">
        <f t="shared" si="50"/>
        <v>0</v>
      </c>
      <c r="P105" s="54">
        <f t="shared" si="51"/>
        <v>0</v>
      </c>
    </row>
    <row r="106" spans="1:16" ht="12.5">
      <c r="B106" s="7" t="str">
        <f t="shared" si="48"/>
        <v/>
      </c>
      <c r="C106" s="50">
        <f>IF(D93="","-",+C105+1)</f>
        <v>2016</v>
      </c>
      <c r="D106" s="349">
        <v>10043618</v>
      </c>
      <c r="E106" s="352">
        <v>249045</v>
      </c>
      <c r="F106" s="351">
        <v>9794573</v>
      </c>
      <c r="G106" s="351">
        <v>9919095.5</v>
      </c>
      <c r="H106" s="352">
        <v>1527772.6245386968</v>
      </c>
      <c r="I106" s="353">
        <v>1527772.6245386968</v>
      </c>
      <c r="J106" s="54">
        <f t="shared" si="42"/>
        <v>0</v>
      </c>
      <c r="K106" s="54"/>
      <c r="L106" s="379">
        <f t="shared" si="52"/>
        <v>1527772.6245386968</v>
      </c>
      <c r="M106" s="380">
        <f t="shared" si="49"/>
        <v>0</v>
      </c>
      <c r="N106" s="379">
        <f t="shared" si="53"/>
        <v>1527772.6245386968</v>
      </c>
      <c r="O106" s="54">
        <f t="shared" si="50"/>
        <v>0</v>
      </c>
      <c r="P106" s="54">
        <f t="shared" si="51"/>
        <v>0</v>
      </c>
    </row>
    <row r="107" spans="1:16" ht="12.5">
      <c r="B107" s="7" t="str">
        <f t="shared" si="48"/>
        <v/>
      </c>
      <c r="C107" s="50">
        <f>IF(D93="","-",+C106+1)</f>
        <v>2017</v>
      </c>
      <c r="D107" s="349">
        <v>9794573</v>
      </c>
      <c r="E107" s="352">
        <v>249045</v>
      </c>
      <c r="F107" s="351">
        <v>9545528</v>
      </c>
      <c r="G107" s="351">
        <v>9670050.5</v>
      </c>
      <c r="H107" s="352">
        <v>1475715.2889659985</v>
      </c>
      <c r="I107" s="353">
        <v>1475715.2889659985</v>
      </c>
      <c r="J107" s="54">
        <f t="shared" si="42"/>
        <v>0</v>
      </c>
      <c r="K107" s="54"/>
      <c r="L107" s="379">
        <f t="shared" si="52"/>
        <v>1475715.2889659985</v>
      </c>
      <c r="M107" s="380">
        <f t="shared" si="49"/>
        <v>0</v>
      </c>
      <c r="N107" s="379">
        <f t="shared" si="53"/>
        <v>1475715.2889659985</v>
      </c>
      <c r="O107" s="54">
        <f t="shared" si="50"/>
        <v>0</v>
      </c>
      <c r="P107" s="54">
        <f t="shared" si="51"/>
        <v>0</v>
      </c>
    </row>
    <row r="108" spans="1:16" ht="12.5">
      <c r="B108" s="7" t="str">
        <f t="shared" si="48"/>
        <v/>
      </c>
      <c r="C108" s="50">
        <f>IF(D93="","-",+C107+1)</f>
        <v>2018</v>
      </c>
      <c r="D108" s="349">
        <v>9545528</v>
      </c>
      <c r="E108" s="352">
        <v>266420</v>
      </c>
      <c r="F108" s="351">
        <v>9279108</v>
      </c>
      <c r="G108" s="351">
        <v>9412318</v>
      </c>
      <c r="H108" s="352">
        <v>1233399.824885203</v>
      </c>
      <c r="I108" s="353">
        <v>1233399.824885203</v>
      </c>
      <c r="J108" s="54">
        <f t="shared" si="42"/>
        <v>0</v>
      </c>
      <c r="K108" s="54"/>
      <c r="L108" s="379">
        <f t="shared" si="52"/>
        <v>1233399.824885203</v>
      </c>
      <c r="M108" s="380">
        <f t="shared" ref="M108" si="54">IF(L108&lt;&gt;0,+H108-L108,0)</f>
        <v>0</v>
      </c>
      <c r="N108" s="379">
        <f t="shared" si="53"/>
        <v>1233399.824885203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 ht="12.5">
      <c r="B109" s="7" t="str">
        <f t="shared" si="48"/>
        <v/>
      </c>
      <c r="C109" s="50">
        <f>IF(D93="","-",+C108+1)</f>
        <v>2019</v>
      </c>
      <c r="D109" s="349">
        <v>9279108</v>
      </c>
      <c r="E109" s="352">
        <v>279416</v>
      </c>
      <c r="F109" s="351">
        <v>8999692</v>
      </c>
      <c r="G109" s="351">
        <v>9139400</v>
      </c>
      <c r="H109" s="352">
        <v>1221816.3299613127</v>
      </c>
      <c r="I109" s="353">
        <v>1221816.3299613127</v>
      </c>
      <c r="J109" s="54">
        <f t="shared" si="42"/>
        <v>0</v>
      </c>
      <c r="K109" s="54"/>
      <c r="L109" s="379">
        <f t="shared" si="52"/>
        <v>1221816.3299613127</v>
      </c>
      <c r="M109" s="380">
        <f t="shared" ref="M109:M110" si="57">IF(L109&lt;&gt;0,+H109-L109,0)</f>
        <v>0</v>
      </c>
      <c r="N109" s="379">
        <f t="shared" si="53"/>
        <v>1221816.3299613127</v>
      </c>
      <c r="O109" s="54">
        <f t="shared" si="46"/>
        <v>0</v>
      </c>
      <c r="P109" s="54">
        <f t="shared" si="47"/>
        <v>0</v>
      </c>
    </row>
    <row r="110" spans="1:16" ht="12.5">
      <c r="B110" s="7" t="str">
        <f t="shared" si="48"/>
        <v/>
      </c>
      <c r="C110" s="50">
        <f>IF(D93="","-",+C109+1)</f>
        <v>2020</v>
      </c>
      <c r="D110" s="349">
        <v>8999692</v>
      </c>
      <c r="E110" s="352">
        <v>266420</v>
      </c>
      <c r="F110" s="351">
        <v>8733272</v>
      </c>
      <c r="G110" s="351">
        <v>8866482</v>
      </c>
      <c r="H110" s="352">
        <v>1288700.9982176959</v>
      </c>
      <c r="I110" s="353">
        <v>1288700.9982176959</v>
      </c>
      <c r="J110" s="54">
        <f t="shared" si="42"/>
        <v>0</v>
      </c>
      <c r="K110" s="54"/>
      <c r="L110" s="379">
        <f t="shared" si="52"/>
        <v>1288700.9982176959</v>
      </c>
      <c r="M110" s="380">
        <f t="shared" si="57"/>
        <v>0</v>
      </c>
      <c r="N110" s="379">
        <f t="shared" si="53"/>
        <v>1288700.9982176959</v>
      </c>
      <c r="O110" s="54">
        <f t="shared" si="46"/>
        <v>0</v>
      </c>
      <c r="P110" s="54">
        <f t="shared" si="47"/>
        <v>0</v>
      </c>
    </row>
    <row r="111" spans="1:16" ht="12.5">
      <c r="B111" s="7" t="str">
        <f t="shared" si="48"/>
        <v/>
      </c>
      <c r="C111" s="50">
        <f>IF(D93="","-",+C110+1)</f>
        <v>2021</v>
      </c>
      <c r="D111" s="349">
        <v>8733272</v>
      </c>
      <c r="E111" s="352">
        <v>279416</v>
      </c>
      <c r="F111" s="351">
        <v>8453856</v>
      </c>
      <c r="G111" s="351">
        <v>8593564</v>
      </c>
      <c r="H111" s="352">
        <v>1257301.6496546383</v>
      </c>
      <c r="I111" s="353">
        <v>1257301.6496546383</v>
      </c>
      <c r="J111" s="54">
        <f t="shared" si="42"/>
        <v>0</v>
      </c>
      <c r="K111" s="54"/>
      <c r="L111" s="379">
        <f t="shared" ref="L111" si="58">H111</f>
        <v>1257301.6496546383</v>
      </c>
      <c r="M111" s="380">
        <f t="shared" ref="M111" si="59">IF(L111&lt;&gt;0,+H111-L111,0)</f>
        <v>0</v>
      </c>
      <c r="N111" s="379">
        <f t="shared" ref="N111" si="60">I111</f>
        <v>1257301.6496546383</v>
      </c>
      <c r="O111" s="54">
        <f t="shared" ref="O111" si="61">IF(N111&lt;&gt;0,+I111-N111,0)</f>
        <v>0</v>
      </c>
      <c r="P111" s="54">
        <f t="shared" ref="P111" si="62">+O111-M111</f>
        <v>0</v>
      </c>
    </row>
    <row r="112" spans="1:16" ht="12.5">
      <c r="B112" s="7" t="str">
        <f t="shared" si="48"/>
        <v/>
      </c>
      <c r="C112" s="450">
        <f>IF(D93="","-",+C111+1)</f>
        <v>2022</v>
      </c>
      <c r="D112" s="349">
        <v>8453856</v>
      </c>
      <c r="E112" s="352">
        <v>293745</v>
      </c>
      <c r="F112" s="351">
        <v>8160111</v>
      </c>
      <c r="G112" s="351">
        <v>8306983.5</v>
      </c>
      <c r="H112" s="352">
        <v>1209030.4794242503</v>
      </c>
      <c r="I112" s="353">
        <v>1209030.4794242503</v>
      </c>
      <c r="J112" s="54">
        <f t="shared" si="42"/>
        <v>0</v>
      </c>
      <c r="K112" s="54"/>
      <c r="L112" s="379">
        <f t="shared" ref="L112:L113" si="63">H112</f>
        <v>1209030.4794242503</v>
      </c>
      <c r="M112" s="380">
        <f t="shared" ref="M112:M113" si="64">IF(L112&lt;&gt;0,+H112-L112,0)</f>
        <v>0</v>
      </c>
      <c r="N112" s="379">
        <f t="shared" ref="N112:N113" si="65">I112</f>
        <v>1209030.4794242503</v>
      </c>
      <c r="O112" s="54">
        <f t="shared" ref="O112:O113" si="66">IF(N112&lt;&gt;0,+I112-N112,0)</f>
        <v>0</v>
      </c>
      <c r="P112" s="54">
        <f t="shared" si="47"/>
        <v>0</v>
      </c>
    </row>
    <row r="113" spans="2:16" ht="12.5">
      <c r="B113" s="7" t="str">
        <f t="shared" si="48"/>
        <v/>
      </c>
      <c r="C113" s="50">
        <f>IF(D93="","-",+C112+1)</f>
        <v>2023</v>
      </c>
      <c r="D113" s="349">
        <v>8160111</v>
      </c>
      <c r="E113" s="352">
        <v>301475</v>
      </c>
      <c r="F113" s="351">
        <v>7858636</v>
      </c>
      <c r="G113" s="351">
        <v>8009373.5</v>
      </c>
      <c r="H113" s="352">
        <v>1216362.1317254766</v>
      </c>
      <c r="I113" s="353">
        <v>1216362.1317254766</v>
      </c>
      <c r="J113" s="54">
        <f t="shared" si="42"/>
        <v>0</v>
      </c>
      <c r="K113" s="54"/>
      <c r="L113" s="379">
        <f t="shared" si="63"/>
        <v>1216362.1317254766</v>
      </c>
      <c r="M113" s="380">
        <f t="shared" si="64"/>
        <v>0</v>
      </c>
      <c r="N113" s="379">
        <f t="shared" si="65"/>
        <v>1216362.1317254766</v>
      </c>
      <c r="O113" s="54">
        <f t="shared" si="66"/>
        <v>0</v>
      </c>
      <c r="P113" s="54">
        <f t="shared" si="47"/>
        <v>0</v>
      </c>
    </row>
    <row r="114" spans="2:16" ht="12.5">
      <c r="B114" s="7" t="str">
        <f t="shared" si="48"/>
        <v/>
      </c>
      <c r="C114" s="50">
        <f>IF(D93="","-",+C113+1)</f>
        <v>2024</v>
      </c>
      <c r="D114" s="349">
        <v>7858636</v>
      </c>
      <c r="E114" s="352">
        <v>301475</v>
      </c>
      <c r="F114" s="351">
        <v>7557161</v>
      </c>
      <c r="G114" s="351">
        <v>7707898.5</v>
      </c>
      <c r="H114" s="352">
        <v>1336789.9814607587</v>
      </c>
      <c r="I114" s="353">
        <v>1336789.9814607587</v>
      </c>
      <c r="J114" s="54">
        <f t="shared" si="42"/>
        <v>0</v>
      </c>
      <c r="K114" s="54"/>
      <c r="L114" s="379">
        <f t="shared" ref="L114" si="67">H114</f>
        <v>1336789.9814607587</v>
      </c>
      <c r="M114" s="380">
        <f t="shared" ref="M114" si="68">IF(L114&lt;&gt;0,+H114-L114,0)</f>
        <v>0</v>
      </c>
      <c r="N114" s="379">
        <f t="shared" ref="N114" si="69">I114</f>
        <v>1336789.9814607587</v>
      </c>
      <c r="O114" s="54">
        <f t="shared" ref="O114" si="70">IF(N114&lt;&gt;0,+I114-N114,0)</f>
        <v>0</v>
      </c>
      <c r="P114" s="54">
        <f t="shared" ref="P114" si="71">+O114-M114</f>
        <v>0</v>
      </c>
    </row>
    <row r="115" spans="2:16" ht="12.5">
      <c r="B115" s="7" t="str">
        <f t="shared" si="48"/>
        <v/>
      </c>
      <c r="C115" s="50">
        <f>IF(D93="","-",+C114+1)</f>
        <v>2025</v>
      </c>
      <c r="D115" s="12">
        <f>IF(F114+SUM(E$99:E114)=D$92,F114,D$92-SUM(E$99:E114))</f>
        <v>7557161</v>
      </c>
      <c r="E115" s="355">
        <f>IF(+J96&lt;F114,J96,D115)</f>
        <v>309623</v>
      </c>
      <c r="F115" s="55">
        <f t="shared" ref="F115:F130" si="72">+D115-E115</f>
        <v>7247538</v>
      </c>
      <c r="G115" s="55">
        <f t="shared" ref="G115:G130" si="73">+(F115+D115)/2</f>
        <v>7402349.5</v>
      </c>
      <c r="H115" s="356">
        <f t="shared" ref="H115:H154" si="74">+J$94*G115+E115</f>
        <v>1303897.0340131044</v>
      </c>
      <c r="I115" s="381">
        <f t="shared" ref="I115:I154" si="75">+J$95*G115+E115</f>
        <v>1303897.0340131044</v>
      </c>
      <c r="J115" s="54">
        <f t="shared" si="42"/>
        <v>0</v>
      </c>
      <c r="K115" s="54"/>
      <c r="L115" s="115"/>
      <c r="M115" s="54">
        <f t="shared" si="44"/>
        <v>0</v>
      </c>
      <c r="N115" s="115"/>
      <c r="O115" s="54">
        <f t="shared" si="46"/>
        <v>0</v>
      </c>
      <c r="P115" s="54">
        <f t="shared" si="47"/>
        <v>0</v>
      </c>
    </row>
    <row r="116" spans="2:16" ht="12.5">
      <c r="B116" s="7" t="str">
        <f t="shared" si="48"/>
        <v/>
      </c>
      <c r="C116" s="50">
        <f>IF(D93="","-",+C115+1)</f>
        <v>2026</v>
      </c>
      <c r="D116" s="12">
        <f>IF(F115+SUM(E$99:E115)=D$92,F115,D$92-SUM(E$99:E115))</f>
        <v>7247538</v>
      </c>
      <c r="E116" s="355">
        <f>IF(+J96&lt;F115,J96,D116)</f>
        <v>309623</v>
      </c>
      <c r="F116" s="55">
        <f t="shared" si="72"/>
        <v>6937915</v>
      </c>
      <c r="G116" s="55">
        <f t="shared" si="73"/>
        <v>7092726.5</v>
      </c>
      <c r="H116" s="356">
        <f t="shared" si="74"/>
        <v>1262308.8721418986</v>
      </c>
      <c r="I116" s="381">
        <f t="shared" si="75"/>
        <v>1262308.8721418986</v>
      </c>
      <c r="J116" s="54">
        <f t="shared" si="42"/>
        <v>0</v>
      </c>
      <c r="K116" s="54"/>
      <c r="L116" s="115"/>
      <c r="M116" s="54">
        <f t="shared" si="44"/>
        <v>0</v>
      </c>
      <c r="N116" s="115"/>
      <c r="O116" s="54">
        <f t="shared" si="46"/>
        <v>0</v>
      </c>
      <c r="P116" s="54">
        <f t="shared" si="47"/>
        <v>0</v>
      </c>
    </row>
    <row r="117" spans="2:16" ht="12.5">
      <c r="B117" s="7" t="str">
        <f t="shared" si="48"/>
        <v/>
      </c>
      <c r="C117" s="50">
        <f>IF(D93="","-",+C116+1)</f>
        <v>2027</v>
      </c>
      <c r="D117" s="12">
        <f>IF(F116+SUM(E$99:E116)=D$92,F116,D$92-SUM(E$99:E116))</f>
        <v>6937915</v>
      </c>
      <c r="E117" s="355">
        <f>IF(+J96&lt;F116,J96,D117)</f>
        <v>309623</v>
      </c>
      <c r="F117" s="55">
        <f t="shared" si="72"/>
        <v>6628292</v>
      </c>
      <c r="G117" s="55">
        <f t="shared" si="73"/>
        <v>6783103.5</v>
      </c>
      <c r="H117" s="356">
        <f t="shared" si="74"/>
        <v>1220720.7102706926</v>
      </c>
      <c r="I117" s="381">
        <f t="shared" si="75"/>
        <v>1220720.7102706926</v>
      </c>
      <c r="J117" s="54">
        <f t="shared" si="42"/>
        <v>0</v>
      </c>
      <c r="K117" s="54"/>
      <c r="L117" s="115"/>
      <c r="M117" s="54">
        <f t="shared" si="44"/>
        <v>0</v>
      </c>
      <c r="N117" s="115"/>
      <c r="O117" s="54">
        <f t="shared" si="46"/>
        <v>0</v>
      </c>
      <c r="P117" s="54">
        <f t="shared" si="47"/>
        <v>0</v>
      </c>
    </row>
    <row r="118" spans="2:16" ht="12.5">
      <c r="B118" s="7" t="str">
        <f t="shared" si="48"/>
        <v/>
      </c>
      <c r="C118" s="50">
        <f>IF(D93="","-",+C117+1)</f>
        <v>2028</v>
      </c>
      <c r="D118" s="12">
        <f>IF(F117+SUM(E$99:E117)=D$92,F117,D$92-SUM(E$99:E117))</f>
        <v>6628292</v>
      </c>
      <c r="E118" s="355">
        <f>IF(+J96&lt;F117,J96,D118)</f>
        <v>309623</v>
      </c>
      <c r="F118" s="55">
        <f t="shared" si="72"/>
        <v>6318669</v>
      </c>
      <c r="G118" s="55">
        <f t="shared" si="73"/>
        <v>6473480.5</v>
      </c>
      <c r="H118" s="356">
        <f t="shared" si="74"/>
        <v>1179132.548399487</v>
      </c>
      <c r="I118" s="381">
        <f t="shared" si="75"/>
        <v>1179132.548399487</v>
      </c>
      <c r="J118" s="54">
        <f t="shared" si="42"/>
        <v>0</v>
      </c>
      <c r="K118" s="54"/>
      <c r="L118" s="115"/>
      <c r="M118" s="54">
        <f t="shared" si="44"/>
        <v>0</v>
      </c>
      <c r="N118" s="115"/>
      <c r="O118" s="54">
        <f t="shared" si="46"/>
        <v>0</v>
      </c>
      <c r="P118" s="54">
        <f t="shared" si="47"/>
        <v>0</v>
      </c>
    </row>
    <row r="119" spans="2:16" ht="12.5">
      <c r="B119" s="7" t="str">
        <f t="shared" si="48"/>
        <v/>
      </c>
      <c r="C119" s="50">
        <f>IF(D93="","-",+C118+1)</f>
        <v>2029</v>
      </c>
      <c r="D119" s="12">
        <f>IF(F118+SUM(E$99:E118)=D$92,F118,D$92-SUM(E$99:E118))</f>
        <v>6318669</v>
      </c>
      <c r="E119" s="355">
        <f>IF(+J96&lt;F118,J96,D119)</f>
        <v>309623</v>
      </c>
      <c r="F119" s="55">
        <f t="shared" si="72"/>
        <v>6009046</v>
      </c>
      <c r="G119" s="55">
        <f t="shared" si="73"/>
        <v>6163857.5</v>
      </c>
      <c r="H119" s="356">
        <f t="shared" si="74"/>
        <v>1137544.386528281</v>
      </c>
      <c r="I119" s="381">
        <f t="shared" si="75"/>
        <v>1137544.386528281</v>
      </c>
      <c r="J119" s="54">
        <f t="shared" si="42"/>
        <v>0</v>
      </c>
      <c r="K119" s="54"/>
      <c r="L119" s="115"/>
      <c r="M119" s="54">
        <f t="shared" si="44"/>
        <v>0</v>
      </c>
      <c r="N119" s="115"/>
      <c r="O119" s="54">
        <f t="shared" si="46"/>
        <v>0</v>
      </c>
      <c r="P119" s="54">
        <f t="shared" si="47"/>
        <v>0</v>
      </c>
    </row>
    <row r="120" spans="2:16" ht="12.5">
      <c r="B120" s="7" t="str">
        <f t="shared" si="48"/>
        <v/>
      </c>
      <c r="C120" s="50">
        <f>IF(D93="","-",+C119+1)</f>
        <v>2030</v>
      </c>
      <c r="D120" s="12">
        <f>IF(F119+SUM(E$99:E119)=D$92,F119,D$92-SUM(E$99:E119))</f>
        <v>6009046</v>
      </c>
      <c r="E120" s="355">
        <f>IF(+J96&lt;F119,J96,D120)</f>
        <v>309623</v>
      </c>
      <c r="F120" s="55">
        <f t="shared" si="72"/>
        <v>5699423</v>
      </c>
      <c r="G120" s="55">
        <f t="shared" si="73"/>
        <v>5854234.5</v>
      </c>
      <c r="H120" s="356">
        <f t="shared" si="74"/>
        <v>1095956.2246570755</v>
      </c>
      <c r="I120" s="381">
        <f t="shared" si="75"/>
        <v>1095956.2246570755</v>
      </c>
      <c r="J120" s="54">
        <f t="shared" si="42"/>
        <v>0</v>
      </c>
      <c r="K120" s="54"/>
      <c r="L120" s="115"/>
      <c r="M120" s="54">
        <f t="shared" si="44"/>
        <v>0</v>
      </c>
      <c r="N120" s="115"/>
      <c r="O120" s="54">
        <f t="shared" si="46"/>
        <v>0</v>
      </c>
      <c r="P120" s="54">
        <f t="shared" si="47"/>
        <v>0</v>
      </c>
    </row>
    <row r="121" spans="2:16" ht="12.5">
      <c r="B121" s="7" t="str">
        <f t="shared" si="48"/>
        <v/>
      </c>
      <c r="C121" s="50">
        <f>IF(D93="","-",+C120+1)</f>
        <v>2031</v>
      </c>
      <c r="D121" s="12">
        <f>IF(F120+SUM(E$99:E120)=D$92,F120,D$92-SUM(E$99:E120))</f>
        <v>5699423</v>
      </c>
      <c r="E121" s="355">
        <f>IF(+J96&lt;F120,J96,D121)</f>
        <v>309623</v>
      </c>
      <c r="F121" s="55">
        <f t="shared" si="72"/>
        <v>5389800</v>
      </c>
      <c r="G121" s="55">
        <f t="shared" si="73"/>
        <v>5544611.5</v>
      </c>
      <c r="H121" s="356">
        <f t="shared" si="74"/>
        <v>1054368.0627858695</v>
      </c>
      <c r="I121" s="381">
        <f t="shared" si="75"/>
        <v>1054368.0627858695</v>
      </c>
      <c r="J121" s="54">
        <f t="shared" si="42"/>
        <v>0</v>
      </c>
      <c r="K121" s="54"/>
      <c r="L121" s="115"/>
      <c r="M121" s="54">
        <f t="shared" si="44"/>
        <v>0</v>
      </c>
      <c r="N121" s="115"/>
      <c r="O121" s="54">
        <f t="shared" si="46"/>
        <v>0</v>
      </c>
      <c r="P121" s="54">
        <f t="shared" si="47"/>
        <v>0</v>
      </c>
    </row>
    <row r="122" spans="2:16" ht="12.5">
      <c r="B122" s="7" t="str">
        <f t="shared" si="48"/>
        <v/>
      </c>
      <c r="C122" s="50">
        <f>IF(D93="","-",+C121+1)</f>
        <v>2032</v>
      </c>
      <c r="D122" s="12">
        <f>IF(F121+SUM(E$99:E121)=D$92,F121,D$92-SUM(E$99:E121))</f>
        <v>5389800</v>
      </c>
      <c r="E122" s="355">
        <f>IF(+J96&lt;F121,J96,D122)</f>
        <v>309623</v>
      </c>
      <c r="F122" s="55">
        <f t="shared" si="72"/>
        <v>5080177</v>
      </c>
      <c r="G122" s="55">
        <f t="shared" si="73"/>
        <v>5234988.5</v>
      </c>
      <c r="H122" s="356">
        <f t="shared" si="74"/>
        <v>1012779.9009146637</v>
      </c>
      <c r="I122" s="381">
        <f t="shared" si="75"/>
        <v>1012779.9009146637</v>
      </c>
      <c r="J122" s="54">
        <f t="shared" si="42"/>
        <v>0</v>
      </c>
      <c r="K122" s="54"/>
      <c r="L122" s="115"/>
      <c r="M122" s="54">
        <f t="shared" si="44"/>
        <v>0</v>
      </c>
      <c r="N122" s="115"/>
      <c r="O122" s="54">
        <f t="shared" si="46"/>
        <v>0</v>
      </c>
      <c r="P122" s="54">
        <f t="shared" si="47"/>
        <v>0</v>
      </c>
    </row>
    <row r="123" spans="2:16" ht="12.5">
      <c r="B123" s="7" t="str">
        <f t="shared" si="48"/>
        <v/>
      </c>
      <c r="C123" s="50">
        <f>IF(D93="","-",+C122+1)</f>
        <v>2033</v>
      </c>
      <c r="D123" s="12">
        <f>IF(F122+SUM(E$99:E122)=D$92,F122,D$92-SUM(E$99:E122))</f>
        <v>5080177</v>
      </c>
      <c r="E123" s="355">
        <f>IF(+J96&lt;F122,J96,D123)</f>
        <v>309623</v>
      </c>
      <c r="F123" s="55">
        <f t="shared" si="72"/>
        <v>4770554</v>
      </c>
      <c r="G123" s="55">
        <f t="shared" si="73"/>
        <v>4925365.5</v>
      </c>
      <c r="H123" s="356">
        <f t="shared" si="74"/>
        <v>971191.7390434579</v>
      </c>
      <c r="I123" s="381">
        <f t="shared" si="75"/>
        <v>971191.7390434579</v>
      </c>
      <c r="J123" s="54">
        <f t="shared" si="42"/>
        <v>0</v>
      </c>
      <c r="K123" s="54"/>
      <c r="L123" s="115"/>
      <c r="M123" s="54">
        <f t="shared" si="44"/>
        <v>0</v>
      </c>
      <c r="N123" s="115"/>
      <c r="O123" s="54">
        <f t="shared" si="46"/>
        <v>0</v>
      </c>
      <c r="P123" s="54">
        <f t="shared" si="47"/>
        <v>0</v>
      </c>
    </row>
    <row r="124" spans="2:16" ht="12.5">
      <c r="B124" s="7" t="str">
        <f t="shared" si="48"/>
        <v/>
      </c>
      <c r="C124" s="50">
        <f>IF(D93="","-",+C123+1)</f>
        <v>2034</v>
      </c>
      <c r="D124" s="12">
        <f>IF(F123+SUM(E$99:E123)=D$92,F123,D$92-SUM(E$99:E123))</f>
        <v>4770554</v>
      </c>
      <c r="E124" s="355">
        <f>IF(+J96&lt;F123,J96,D124)</f>
        <v>309623</v>
      </c>
      <c r="F124" s="55">
        <f t="shared" si="72"/>
        <v>4460931</v>
      </c>
      <c r="G124" s="55">
        <f t="shared" si="73"/>
        <v>4615742.5</v>
      </c>
      <c r="H124" s="356">
        <f t="shared" si="74"/>
        <v>929603.577172252</v>
      </c>
      <c r="I124" s="381">
        <f t="shared" si="75"/>
        <v>929603.577172252</v>
      </c>
      <c r="J124" s="54">
        <f t="shared" si="42"/>
        <v>0</v>
      </c>
      <c r="K124" s="54"/>
      <c r="L124" s="115"/>
      <c r="M124" s="54">
        <f t="shared" si="44"/>
        <v>0</v>
      </c>
      <c r="N124" s="115"/>
      <c r="O124" s="54">
        <f t="shared" si="46"/>
        <v>0</v>
      </c>
      <c r="P124" s="54">
        <f t="shared" si="47"/>
        <v>0</v>
      </c>
    </row>
    <row r="125" spans="2:16" ht="12.5">
      <c r="B125" s="7" t="str">
        <f t="shared" si="48"/>
        <v/>
      </c>
      <c r="C125" s="50">
        <f>IF(D93="","-",+C124+1)</f>
        <v>2035</v>
      </c>
      <c r="D125" s="12">
        <f>IF(F124+SUM(E$99:E124)=D$92,F124,D$92-SUM(E$99:E124))</f>
        <v>4460931</v>
      </c>
      <c r="E125" s="355">
        <f>IF(+J96&lt;F124,J96,D125)</f>
        <v>309623</v>
      </c>
      <c r="F125" s="55">
        <f t="shared" si="72"/>
        <v>4151308</v>
      </c>
      <c r="G125" s="55">
        <f t="shared" si="73"/>
        <v>4306119.5</v>
      </c>
      <c r="H125" s="356">
        <f t="shared" si="74"/>
        <v>888015.41530104622</v>
      </c>
      <c r="I125" s="381">
        <f t="shared" si="75"/>
        <v>888015.41530104622</v>
      </c>
      <c r="J125" s="54">
        <f t="shared" si="42"/>
        <v>0</v>
      </c>
      <c r="K125" s="54"/>
      <c r="L125" s="115"/>
      <c r="M125" s="54">
        <f t="shared" si="44"/>
        <v>0</v>
      </c>
      <c r="N125" s="115"/>
      <c r="O125" s="54">
        <f t="shared" si="46"/>
        <v>0</v>
      </c>
      <c r="P125" s="54">
        <f t="shared" si="47"/>
        <v>0</v>
      </c>
    </row>
    <row r="126" spans="2:16" ht="12.5">
      <c r="B126" s="7" t="str">
        <f t="shared" si="48"/>
        <v/>
      </c>
      <c r="C126" s="50">
        <f>IF(D93="","-",+C125+1)</f>
        <v>2036</v>
      </c>
      <c r="D126" s="12">
        <f>IF(F125+SUM(E$99:E125)=D$92,F125,D$92-SUM(E$99:E125))</f>
        <v>4151308</v>
      </c>
      <c r="E126" s="355">
        <f>IF(+J96&lt;F125,J96,D126)</f>
        <v>309623</v>
      </c>
      <c r="F126" s="55">
        <f t="shared" si="72"/>
        <v>3841685</v>
      </c>
      <c r="G126" s="55">
        <f t="shared" si="73"/>
        <v>3996496.5</v>
      </c>
      <c r="H126" s="356">
        <f t="shared" si="74"/>
        <v>846427.25342984044</v>
      </c>
      <c r="I126" s="381">
        <f t="shared" si="75"/>
        <v>846427.25342984044</v>
      </c>
      <c r="J126" s="54">
        <f t="shared" si="42"/>
        <v>0</v>
      </c>
      <c r="K126" s="54"/>
      <c r="L126" s="115"/>
      <c r="M126" s="54">
        <f t="shared" si="44"/>
        <v>0</v>
      </c>
      <c r="N126" s="115"/>
      <c r="O126" s="54">
        <f t="shared" si="46"/>
        <v>0</v>
      </c>
      <c r="P126" s="54">
        <f t="shared" si="47"/>
        <v>0</v>
      </c>
    </row>
    <row r="127" spans="2:16" ht="12.5">
      <c r="B127" s="7" t="str">
        <f t="shared" si="48"/>
        <v/>
      </c>
      <c r="C127" s="50">
        <f>IF(D93="","-",+C126+1)</f>
        <v>2037</v>
      </c>
      <c r="D127" s="12">
        <f>IF(F126+SUM(E$99:E126)=D$92,F126,D$92-SUM(E$99:E126))</f>
        <v>3841685</v>
      </c>
      <c r="E127" s="355">
        <f>IF(+J96&lt;F126,J96,D127)</f>
        <v>309623</v>
      </c>
      <c r="F127" s="55">
        <f t="shared" si="72"/>
        <v>3532062</v>
      </c>
      <c r="G127" s="55">
        <f t="shared" si="73"/>
        <v>3686873.5</v>
      </c>
      <c r="H127" s="356">
        <f t="shared" si="74"/>
        <v>804839.09155863454</v>
      </c>
      <c r="I127" s="381">
        <f t="shared" si="75"/>
        <v>804839.09155863454</v>
      </c>
      <c r="J127" s="54">
        <f t="shared" si="42"/>
        <v>0</v>
      </c>
      <c r="K127" s="54"/>
      <c r="L127" s="115"/>
      <c r="M127" s="54">
        <f t="shared" si="44"/>
        <v>0</v>
      </c>
      <c r="N127" s="115"/>
      <c r="O127" s="54">
        <f t="shared" si="46"/>
        <v>0</v>
      </c>
      <c r="P127" s="54">
        <f t="shared" si="47"/>
        <v>0</v>
      </c>
    </row>
    <row r="128" spans="2:16" ht="12.5">
      <c r="B128" s="7" t="str">
        <f t="shared" si="48"/>
        <v/>
      </c>
      <c r="C128" s="50">
        <f>IF(D93="","-",+C127+1)</f>
        <v>2038</v>
      </c>
      <c r="D128" s="12">
        <f>IF(F127+SUM(E$99:E127)=D$92,F127,D$92-SUM(E$99:E127))</f>
        <v>3532062</v>
      </c>
      <c r="E128" s="355">
        <f>IF(+J96&lt;F127,J96,D128)</f>
        <v>309623</v>
      </c>
      <c r="F128" s="55">
        <f t="shared" si="72"/>
        <v>3222439</v>
      </c>
      <c r="G128" s="55">
        <f t="shared" si="73"/>
        <v>3377250.5</v>
      </c>
      <c r="H128" s="356">
        <f t="shared" si="74"/>
        <v>763250.92968742875</v>
      </c>
      <c r="I128" s="381">
        <f t="shared" si="75"/>
        <v>763250.92968742875</v>
      </c>
      <c r="J128" s="54">
        <f t="shared" si="42"/>
        <v>0</v>
      </c>
      <c r="K128" s="54"/>
      <c r="L128" s="115"/>
      <c r="M128" s="54">
        <f t="shared" si="44"/>
        <v>0</v>
      </c>
      <c r="N128" s="115"/>
      <c r="O128" s="54">
        <f t="shared" si="46"/>
        <v>0</v>
      </c>
      <c r="P128" s="54">
        <f t="shared" si="47"/>
        <v>0</v>
      </c>
    </row>
    <row r="129" spans="2:16" ht="12.5">
      <c r="B129" s="7" t="str">
        <f t="shared" si="48"/>
        <v/>
      </c>
      <c r="C129" s="50">
        <f>IF(D93="","-",+C128+1)</f>
        <v>2039</v>
      </c>
      <c r="D129" s="12">
        <f>IF(F128+SUM(E$99:E128)=D$92,F128,D$92-SUM(E$99:E128))</f>
        <v>3222439</v>
      </c>
      <c r="E129" s="355">
        <f>IF(+J96&lt;F128,J96,D129)</f>
        <v>309623</v>
      </c>
      <c r="F129" s="55">
        <f t="shared" si="72"/>
        <v>2912816</v>
      </c>
      <c r="G129" s="55">
        <f t="shared" si="73"/>
        <v>3067627.5</v>
      </c>
      <c r="H129" s="356">
        <f t="shared" si="74"/>
        <v>721662.76781622297</v>
      </c>
      <c r="I129" s="381">
        <f t="shared" si="75"/>
        <v>721662.76781622297</v>
      </c>
      <c r="J129" s="54">
        <f t="shared" si="42"/>
        <v>0</v>
      </c>
      <c r="K129" s="54"/>
      <c r="L129" s="115"/>
      <c r="M129" s="54">
        <f t="shared" si="44"/>
        <v>0</v>
      </c>
      <c r="N129" s="115"/>
      <c r="O129" s="54">
        <f t="shared" si="46"/>
        <v>0</v>
      </c>
      <c r="P129" s="54">
        <f t="shared" si="47"/>
        <v>0</v>
      </c>
    </row>
    <row r="130" spans="2:16" ht="12.5">
      <c r="B130" s="7" t="str">
        <f t="shared" si="48"/>
        <v/>
      </c>
      <c r="C130" s="50">
        <f>IF(D93="","-",+C129+1)</f>
        <v>2040</v>
      </c>
      <c r="D130" s="12">
        <f>IF(F129+SUM(E$99:E129)=D$92,F129,D$92-SUM(E$99:E129))</f>
        <v>2912816</v>
      </c>
      <c r="E130" s="355">
        <f>IF(+J96&lt;F129,J96,D130)</f>
        <v>309623</v>
      </c>
      <c r="F130" s="55">
        <f t="shared" si="72"/>
        <v>2603193</v>
      </c>
      <c r="G130" s="55">
        <f t="shared" si="73"/>
        <v>2758004.5</v>
      </c>
      <c r="H130" s="356">
        <f t="shared" si="74"/>
        <v>680074.60594501719</v>
      </c>
      <c r="I130" s="381">
        <f t="shared" si="75"/>
        <v>680074.60594501719</v>
      </c>
      <c r="J130" s="54">
        <f t="shared" si="42"/>
        <v>0</v>
      </c>
      <c r="K130" s="54"/>
      <c r="L130" s="115"/>
      <c r="M130" s="54">
        <f t="shared" si="44"/>
        <v>0</v>
      </c>
      <c r="N130" s="115"/>
      <c r="O130" s="54">
        <f t="shared" si="46"/>
        <v>0</v>
      </c>
      <c r="P130" s="54">
        <f t="shared" si="47"/>
        <v>0</v>
      </c>
    </row>
    <row r="131" spans="2:16" ht="12.5">
      <c r="B131" s="7" t="str">
        <f t="shared" si="48"/>
        <v/>
      </c>
      <c r="C131" s="50">
        <f>IF(D93="","-",+C130+1)</f>
        <v>2041</v>
      </c>
      <c r="D131" s="12">
        <f>IF(F130+SUM(E$99:E130)=D$92,F130,D$92-SUM(E$99:E130))</f>
        <v>2603193</v>
      </c>
      <c r="E131" s="355">
        <f>IF(+J96&lt;F130,J96,D131)</f>
        <v>309623</v>
      </c>
      <c r="F131" s="55">
        <f t="shared" ref="F131:F154" si="76">+D131-E131</f>
        <v>2293570</v>
      </c>
      <c r="G131" s="55">
        <f t="shared" ref="G131:G154" si="77">+(F131+D131)/2</f>
        <v>2448381.5</v>
      </c>
      <c r="H131" s="356">
        <f t="shared" si="74"/>
        <v>638486.44407381141</v>
      </c>
      <c r="I131" s="381">
        <f t="shared" si="75"/>
        <v>638486.44407381141</v>
      </c>
      <c r="J131" s="54">
        <f t="shared" ref="J131:J154" si="78">+I131-H131</f>
        <v>0</v>
      </c>
      <c r="K131" s="54"/>
      <c r="L131" s="115"/>
      <c r="M131" s="54">
        <f t="shared" ref="M131:M154" si="79">IF(L131&lt;&gt;0,+H131-L131,0)</f>
        <v>0</v>
      </c>
      <c r="N131" s="115"/>
      <c r="O131" s="54">
        <f t="shared" ref="O131:O154" si="80">IF(N131&lt;&gt;0,+I131-N131,0)</f>
        <v>0</v>
      </c>
      <c r="P131" s="54">
        <f t="shared" ref="P131:P154" si="81">+O131-M131</f>
        <v>0</v>
      </c>
    </row>
    <row r="132" spans="2:16" ht="12.5">
      <c r="B132" s="7" t="str">
        <f t="shared" si="48"/>
        <v/>
      </c>
      <c r="C132" s="50">
        <f>IF(D93="","-",+C131+1)</f>
        <v>2042</v>
      </c>
      <c r="D132" s="12">
        <f>IF(F131+SUM(E$99:E131)=D$92,F131,D$92-SUM(E$99:E131))</f>
        <v>2293570</v>
      </c>
      <c r="E132" s="355">
        <f>IF(+J96&lt;F131,J96,D132)</f>
        <v>309623</v>
      </c>
      <c r="F132" s="55">
        <f t="shared" si="76"/>
        <v>1983947</v>
      </c>
      <c r="G132" s="55">
        <f t="shared" si="77"/>
        <v>2138758.5</v>
      </c>
      <c r="H132" s="356">
        <f t="shared" si="74"/>
        <v>596898.28220260562</v>
      </c>
      <c r="I132" s="381">
        <f t="shared" si="75"/>
        <v>596898.28220260562</v>
      </c>
      <c r="J132" s="54">
        <f t="shared" si="78"/>
        <v>0</v>
      </c>
      <c r="K132" s="54"/>
      <c r="L132" s="115"/>
      <c r="M132" s="54">
        <f t="shared" si="79"/>
        <v>0</v>
      </c>
      <c r="N132" s="115"/>
      <c r="O132" s="54">
        <f t="shared" si="80"/>
        <v>0</v>
      </c>
      <c r="P132" s="54">
        <f t="shared" si="81"/>
        <v>0</v>
      </c>
    </row>
    <row r="133" spans="2:16" ht="12.5">
      <c r="B133" s="7" t="str">
        <f t="shared" si="48"/>
        <v/>
      </c>
      <c r="C133" s="50">
        <f>IF(D93="","-",+C132+1)</f>
        <v>2043</v>
      </c>
      <c r="D133" s="12">
        <f>IF(F132+SUM(E$99:E132)=D$92,F132,D$92-SUM(E$99:E132))</f>
        <v>1983947</v>
      </c>
      <c r="E133" s="355">
        <f>IF(+J96&lt;F132,J96,D133)</f>
        <v>309623</v>
      </c>
      <c r="F133" s="55">
        <f t="shared" si="76"/>
        <v>1674324</v>
      </c>
      <c r="G133" s="55">
        <f t="shared" si="77"/>
        <v>1829135.5</v>
      </c>
      <c r="H133" s="356">
        <f t="shared" si="74"/>
        <v>555310.12033139972</v>
      </c>
      <c r="I133" s="381">
        <f t="shared" si="75"/>
        <v>555310.12033139972</v>
      </c>
      <c r="J133" s="54">
        <f t="shared" si="78"/>
        <v>0</v>
      </c>
      <c r="K133" s="54"/>
      <c r="L133" s="115"/>
      <c r="M133" s="54">
        <f t="shared" si="79"/>
        <v>0</v>
      </c>
      <c r="N133" s="115"/>
      <c r="O133" s="54">
        <f t="shared" si="80"/>
        <v>0</v>
      </c>
      <c r="P133" s="54">
        <f t="shared" si="81"/>
        <v>0</v>
      </c>
    </row>
    <row r="134" spans="2:16" ht="12.5">
      <c r="B134" s="7" t="str">
        <f t="shared" si="48"/>
        <v/>
      </c>
      <c r="C134" s="50">
        <f>IF(D93="","-",+C133+1)</f>
        <v>2044</v>
      </c>
      <c r="D134" s="12">
        <f>IF(F133+SUM(E$99:E133)=D$92,F133,D$92-SUM(E$99:E133))</f>
        <v>1674324</v>
      </c>
      <c r="E134" s="355">
        <f>IF(+J96&lt;F133,J96,D134)</f>
        <v>309623</v>
      </c>
      <c r="F134" s="55">
        <f t="shared" si="76"/>
        <v>1364701</v>
      </c>
      <c r="G134" s="55">
        <f t="shared" si="77"/>
        <v>1519512.5</v>
      </c>
      <c r="H134" s="356">
        <f t="shared" si="74"/>
        <v>513721.95846019394</v>
      </c>
      <c r="I134" s="381">
        <f t="shared" si="75"/>
        <v>513721.95846019394</v>
      </c>
      <c r="J134" s="54">
        <f t="shared" si="78"/>
        <v>0</v>
      </c>
      <c r="K134" s="54"/>
      <c r="L134" s="115"/>
      <c r="M134" s="54">
        <f t="shared" si="79"/>
        <v>0</v>
      </c>
      <c r="N134" s="115"/>
      <c r="O134" s="54">
        <f t="shared" si="80"/>
        <v>0</v>
      </c>
      <c r="P134" s="54">
        <f t="shared" si="81"/>
        <v>0</v>
      </c>
    </row>
    <row r="135" spans="2:16" ht="12.5">
      <c r="B135" s="7" t="str">
        <f t="shared" si="48"/>
        <v/>
      </c>
      <c r="C135" s="50">
        <f>IF(D93="","-",+C134+1)</f>
        <v>2045</v>
      </c>
      <c r="D135" s="12">
        <f>IF(F134+SUM(E$99:E134)=D$92,F134,D$92-SUM(E$99:E134))</f>
        <v>1364701</v>
      </c>
      <c r="E135" s="355">
        <f>IF(+J96&lt;F134,J96,D135)</f>
        <v>309623</v>
      </c>
      <c r="F135" s="55">
        <f t="shared" si="76"/>
        <v>1055078</v>
      </c>
      <c r="G135" s="55">
        <f t="shared" si="77"/>
        <v>1209889.5</v>
      </c>
      <c r="H135" s="356">
        <f t="shared" si="74"/>
        <v>472133.7965889881</v>
      </c>
      <c r="I135" s="381">
        <f t="shared" si="75"/>
        <v>472133.7965889881</v>
      </c>
      <c r="J135" s="54">
        <f t="shared" si="78"/>
        <v>0</v>
      </c>
      <c r="K135" s="54"/>
      <c r="L135" s="115"/>
      <c r="M135" s="54">
        <f t="shared" si="79"/>
        <v>0</v>
      </c>
      <c r="N135" s="115"/>
      <c r="O135" s="54">
        <f t="shared" si="80"/>
        <v>0</v>
      </c>
      <c r="P135" s="54">
        <f t="shared" si="81"/>
        <v>0</v>
      </c>
    </row>
    <row r="136" spans="2:16" ht="12.5">
      <c r="B136" s="7" t="str">
        <f t="shared" si="48"/>
        <v/>
      </c>
      <c r="C136" s="50">
        <f>IF(D93="","-",+C135+1)</f>
        <v>2046</v>
      </c>
      <c r="D136" s="12">
        <f>IF(F135+SUM(E$99:E135)=D$92,F135,D$92-SUM(E$99:E135))</f>
        <v>1055078</v>
      </c>
      <c r="E136" s="355">
        <f>IF(+J96&lt;F135,J96,D136)</f>
        <v>309623</v>
      </c>
      <c r="F136" s="55">
        <f t="shared" si="76"/>
        <v>745455</v>
      </c>
      <c r="G136" s="55">
        <f t="shared" si="77"/>
        <v>900266.5</v>
      </c>
      <c r="H136" s="356">
        <f t="shared" si="74"/>
        <v>430545.63471778226</v>
      </c>
      <c r="I136" s="381">
        <f t="shared" si="75"/>
        <v>430545.63471778226</v>
      </c>
      <c r="J136" s="54">
        <f t="shared" si="78"/>
        <v>0</v>
      </c>
      <c r="K136" s="54"/>
      <c r="L136" s="115"/>
      <c r="M136" s="54">
        <f t="shared" si="79"/>
        <v>0</v>
      </c>
      <c r="N136" s="115"/>
      <c r="O136" s="54">
        <f t="shared" si="80"/>
        <v>0</v>
      </c>
      <c r="P136" s="54">
        <f t="shared" si="81"/>
        <v>0</v>
      </c>
    </row>
    <row r="137" spans="2:16" ht="12.5">
      <c r="B137" s="7" t="str">
        <f t="shared" si="48"/>
        <v/>
      </c>
      <c r="C137" s="50">
        <f>IF(D93="","-",+C136+1)</f>
        <v>2047</v>
      </c>
      <c r="D137" s="12">
        <f>IF(F136+SUM(E$99:E136)=D$92,F136,D$92-SUM(E$99:E136))</f>
        <v>745455</v>
      </c>
      <c r="E137" s="355">
        <f>IF(+J96&lt;F136,J96,D137)</f>
        <v>309623</v>
      </c>
      <c r="F137" s="55">
        <f t="shared" si="76"/>
        <v>435832</v>
      </c>
      <c r="G137" s="55">
        <f t="shared" si="77"/>
        <v>590643.5</v>
      </c>
      <c r="H137" s="356">
        <f t="shared" si="74"/>
        <v>388957.47284657648</v>
      </c>
      <c r="I137" s="381">
        <f t="shared" si="75"/>
        <v>388957.47284657648</v>
      </c>
      <c r="J137" s="54">
        <f t="shared" si="78"/>
        <v>0</v>
      </c>
      <c r="K137" s="54"/>
      <c r="L137" s="115"/>
      <c r="M137" s="54">
        <f t="shared" si="79"/>
        <v>0</v>
      </c>
      <c r="N137" s="115"/>
      <c r="O137" s="54">
        <f t="shared" si="80"/>
        <v>0</v>
      </c>
      <c r="P137" s="54">
        <f t="shared" si="81"/>
        <v>0</v>
      </c>
    </row>
    <row r="138" spans="2:16" ht="12.5">
      <c r="B138" s="7" t="str">
        <f t="shared" si="48"/>
        <v/>
      </c>
      <c r="C138" s="50">
        <f>IF(D93="","-",+C137+1)</f>
        <v>2048</v>
      </c>
      <c r="D138" s="12">
        <f>IF(F137+SUM(E$99:E137)=D$92,F137,D$92-SUM(E$99:E137))</f>
        <v>435832</v>
      </c>
      <c r="E138" s="355">
        <f>IF(+J96&lt;F137,J96,D138)</f>
        <v>309623</v>
      </c>
      <c r="F138" s="55">
        <f t="shared" si="76"/>
        <v>126209</v>
      </c>
      <c r="G138" s="55">
        <f t="shared" si="77"/>
        <v>281020.5</v>
      </c>
      <c r="H138" s="356">
        <f t="shared" si="74"/>
        <v>347369.3109753707</v>
      </c>
      <c r="I138" s="381">
        <f t="shared" si="75"/>
        <v>347369.3109753707</v>
      </c>
      <c r="J138" s="54">
        <f t="shared" si="78"/>
        <v>0</v>
      </c>
      <c r="K138" s="54"/>
      <c r="L138" s="115"/>
      <c r="M138" s="54">
        <f t="shared" si="79"/>
        <v>0</v>
      </c>
      <c r="N138" s="115"/>
      <c r="O138" s="54">
        <f t="shared" si="80"/>
        <v>0</v>
      </c>
      <c r="P138" s="54">
        <f t="shared" si="81"/>
        <v>0</v>
      </c>
    </row>
    <row r="139" spans="2:16" ht="12.5">
      <c r="B139" s="7" t="str">
        <f t="shared" si="48"/>
        <v/>
      </c>
      <c r="C139" s="50">
        <f>IF(D93="","-",+C138+1)</f>
        <v>2049</v>
      </c>
      <c r="D139" s="12">
        <f>IF(F138+SUM(E$99:E138)=D$92,F138,D$92-SUM(E$99:E138))</f>
        <v>126209</v>
      </c>
      <c r="E139" s="355">
        <f>IF(+J96&lt;F138,J96,D139)</f>
        <v>126209</v>
      </c>
      <c r="F139" s="55">
        <f t="shared" si="76"/>
        <v>0</v>
      </c>
      <c r="G139" s="55">
        <f t="shared" si="77"/>
        <v>63104.5</v>
      </c>
      <c r="H139" s="356">
        <f t="shared" si="74"/>
        <v>134685.11501988387</v>
      </c>
      <c r="I139" s="381">
        <f t="shared" si="75"/>
        <v>134685.11501988387</v>
      </c>
      <c r="J139" s="54">
        <f t="shared" si="78"/>
        <v>0</v>
      </c>
      <c r="K139" s="54"/>
      <c r="L139" s="115"/>
      <c r="M139" s="54">
        <f t="shared" si="79"/>
        <v>0</v>
      </c>
      <c r="N139" s="115"/>
      <c r="O139" s="54">
        <f t="shared" si="80"/>
        <v>0</v>
      </c>
      <c r="P139" s="54">
        <f t="shared" si="81"/>
        <v>0</v>
      </c>
    </row>
    <row r="140" spans="2:16" ht="12.5">
      <c r="B140" s="7" t="str">
        <f t="shared" si="48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6"/>
        <v>0</v>
      </c>
      <c r="G140" s="55">
        <f t="shared" si="77"/>
        <v>0</v>
      </c>
      <c r="H140" s="356">
        <f t="shared" si="74"/>
        <v>0</v>
      </c>
      <c r="I140" s="381">
        <f t="shared" si="75"/>
        <v>0</v>
      </c>
      <c r="J140" s="54">
        <f t="shared" si="78"/>
        <v>0</v>
      </c>
      <c r="K140" s="54"/>
      <c r="L140" s="115"/>
      <c r="M140" s="54">
        <f t="shared" si="79"/>
        <v>0</v>
      </c>
      <c r="N140" s="115"/>
      <c r="O140" s="54">
        <f t="shared" si="80"/>
        <v>0</v>
      </c>
      <c r="P140" s="54">
        <f t="shared" si="81"/>
        <v>0</v>
      </c>
    </row>
    <row r="141" spans="2:16" ht="12.5">
      <c r="B141" s="7" t="str">
        <f t="shared" si="48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6"/>
        <v>0</v>
      </c>
      <c r="G141" s="55">
        <f t="shared" si="77"/>
        <v>0</v>
      </c>
      <c r="H141" s="356">
        <f t="shared" si="74"/>
        <v>0</v>
      </c>
      <c r="I141" s="381">
        <f t="shared" si="75"/>
        <v>0</v>
      </c>
      <c r="J141" s="54">
        <f t="shared" si="78"/>
        <v>0</v>
      </c>
      <c r="K141" s="54"/>
      <c r="L141" s="115"/>
      <c r="M141" s="54">
        <f t="shared" si="79"/>
        <v>0</v>
      </c>
      <c r="N141" s="115"/>
      <c r="O141" s="54">
        <f t="shared" si="80"/>
        <v>0</v>
      </c>
      <c r="P141" s="54">
        <f t="shared" si="81"/>
        <v>0</v>
      </c>
    </row>
    <row r="142" spans="2:16" ht="12.5">
      <c r="B142" s="7" t="str">
        <f t="shared" si="48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6"/>
        <v>0</v>
      </c>
      <c r="G142" s="55">
        <f t="shared" si="77"/>
        <v>0</v>
      </c>
      <c r="H142" s="356">
        <f t="shared" si="74"/>
        <v>0</v>
      </c>
      <c r="I142" s="381">
        <f t="shared" si="75"/>
        <v>0</v>
      </c>
      <c r="J142" s="54">
        <f t="shared" si="78"/>
        <v>0</v>
      </c>
      <c r="K142" s="54"/>
      <c r="L142" s="115"/>
      <c r="M142" s="54">
        <f t="shared" si="79"/>
        <v>0</v>
      </c>
      <c r="N142" s="115"/>
      <c r="O142" s="54">
        <f t="shared" si="80"/>
        <v>0</v>
      </c>
      <c r="P142" s="54">
        <f t="shared" si="81"/>
        <v>0</v>
      </c>
    </row>
    <row r="143" spans="2:16" ht="12.5">
      <c r="B143" s="7" t="str">
        <f t="shared" si="48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6"/>
        <v>0</v>
      </c>
      <c r="G143" s="55">
        <f t="shared" si="77"/>
        <v>0</v>
      </c>
      <c r="H143" s="356">
        <f t="shared" si="74"/>
        <v>0</v>
      </c>
      <c r="I143" s="381">
        <f t="shared" si="75"/>
        <v>0</v>
      </c>
      <c r="J143" s="54">
        <f t="shared" si="78"/>
        <v>0</v>
      </c>
      <c r="K143" s="54"/>
      <c r="L143" s="115"/>
      <c r="M143" s="54">
        <f t="shared" si="79"/>
        <v>0</v>
      </c>
      <c r="N143" s="115"/>
      <c r="O143" s="54">
        <f t="shared" si="80"/>
        <v>0</v>
      </c>
      <c r="P143" s="54">
        <f t="shared" si="81"/>
        <v>0</v>
      </c>
    </row>
    <row r="144" spans="2:16" ht="12.5">
      <c r="B144" s="7" t="str">
        <f t="shared" si="48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6"/>
        <v>0</v>
      </c>
      <c r="G144" s="55">
        <f t="shared" si="77"/>
        <v>0</v>
      </c>
      <c r="H144" s="356">
        <f t="shared" si="74"/>
        <v>0</v>
      </c>
      <c r="I144" s="381">
        <f t="shared" si="75"/>
        <v>0</v>
      </c>
      <c r="J144" s="54">
        <f t="shared" si="78"/>
        <v>0</v>
      </c>
      <c r="K144" s="54"/>
      <c r="L144" s="115"/>
      <c r="M144" s="54">
        <f t="shared" si="79"/>
        <v>0</v>
      </c>
      <c r="N144" s="115"/>
      <c r="O144" s="54">
        <f t="shared" si="80"/>
        <v>0</v>
      </c>
      <c r="P144" s="54">
        <f t="shared" si="81"/>
        <v>0</v>
      </c>
    </row>
    <row r="145" spans="2:16" ht="12.5">
      <c r="B145" s="7" t="str">
        <f t="shared" si="48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6"/>
        <v>0</v>
      </c>
      <c r="G145" s="55">
        <f t="shared" si="77"/>
        <v>0</v>
      </c>
      <c r="H145" s="356">
        <f t="shared" si="74"/>
        <v>0</v>
      </c>
      <c r="I145" s="381">
        <f t="shared" si="75"/>
        <v>0</v>
      </c>
      <c r="J145" s="54">
        <f t="shared" si="78"/>
        <v>0</v>
      </c>
      <c r="K145" s="54"/>
      <c r="L145" s="115"/>
      <c r="M145" s="54">
        <f t="shared" si="79"/>
        <v>0</v>
      </c>
      <c r="N145" s="115"/>
      <c r="O145" s="54">
        <f t="shared" si="80"/>
        <v>0</v>
      </c>
      <c r="P145" s="54">
        <f t="shared" si="81"/>
        <v>0</v>
      </c>
    </row>
    <row r="146" spans="2:16" ht="12.5">
      <c r="B146" s="7" t="str">
        <f t="shared" si="48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6"/>
        <v>0</v>
      </c>
      <c r="G146" s="55">
        <f t="shared" si="77"/>
        <v>0</v>
      </c>
      <c r="H146" s="356">
        <f t="shared" si="74"/>
        <v>0</v>
      </c>
      <c r="I146" s="381">
        <f t="shared" si="75"/>
        <v>0</v>
      </c>
      <c r="J146" s="54">
        <f t="shared" si="78"/>
        <v>0</v>
      </c>
      <c r="K146" s="54"/>
      <c r="L146" s="115"/>
      <c r="M146" s="54">
        <f t="shared" si="79"/>
        <v>0</v>
      </c>
      <c r="N146" s="115"/>
      <c r="O146" s="54">
        <f t="shared" si="80"/>
        <v>0</v>
      </c>
      <c r="P146" s="54">
        <f t="shared" si="81"/>
        <v>0</v>
      </c>
    </row>
    <row r="147" spans="2:16" ht="12.5">
      <c r="B147" s="7" t="str">
        <f t="shared" si="48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6"/>
        <v>0</v>
      </c>
      <c r="G147" s="55">
        <f t="shared" si="77"/>
        <v>0</v>
      </c>
      <c r="H147" s="356">
        <f t="shared" si="74"/>
        <v>0</v>
      </c>
      <c r="I147" s="381">
        <f t="shared" si="75"/>
        <v>0</v>
      </c>
      <c r="J147" s="54">
        <f t="shared" si="78"/>
        <v>0</v>
      </c>
      <c r="K147" s="54"/>
      <c r="L147" s="115"/>
      <c r="M147" s="54">
        <f t="shared" si="79"/>
        <v>0</v>
      </c>
      <c r="N147" s="115"/>
      <c r="O147" s="54">
        <f t="shared" si="80"/>
        <v>0</v>
      </c>
      <c r="P147" s="54">
        <f t="shared" si="81"/>
        <v>0</v>
      </c>
    </row>
    <row r="148" spans="2:16" ht="12.5">
      <c r="B148" s="7" t="str">
        <f t="shared" si="48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6"/>
        <v>0</v>
      </c>
      <c r="G148" s="55">
        <f t="shared" si="77"/>
        <v>0</v>
      </c>
      <c r="H148" s="356">
        <f t="shared" si="74"/>
        <v>0</v>
      </c>
      <c r="I148" s="381">
        <f t="shared" si="75"/>
        <v>0</v>
      </c>
      <c r="J148" s="54">
        <f t="shared" si="78"/>
        <v>0</v>
      </c>
      <c r="K148" s="54"/>
      <c r="L148" s="115"/>
      <c r="M148" s="54">
        <f t="shared" si="79"/>
        <v>0</v>
      </c>
      <c r="N148" s="115"/>
      <c r="O148" s="54">
        <f t="shared" si="80"/>
        <v>0</v>
      </c>
      <c r="P148" s="54">
        <f t="shared" si="81"/>
        <v>0</v>
      </c>
    </row>
    <row r="149" spans="2:16" ht="12.5">
      <c r="B149" s="7" t="str">
        <f t="shared" si="48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6"/>
        <v>0</v>
      </c>
      <c r="G149" s="55">
        <f t="shared" si="77"/>
        <v>0</v>
      </c>
      <c r="H149" s="356">
        <f t="shared" si="74"/>
        <v>0</v>
      </c>
      <c r="I149" s="381">
        <f t="shared" si="75"/>
        <v>0</v>
      </c>
      <c r="J149" s="54">
        <f t="shared" si="78"/>
        <v>0</v>
      </c>
      <c r="K149" s="54"/>
      <c r="L149" s="115"/>
      <c r="M149" s="54">
        <f t="shared" si="79"/>
        <v>0</v>
      </c>
      <c r="N149" s="115"/>
      <c r="O149" s="54">
        <f t="shared" si="80"/>
        <v>0</v>
      </c>
      <c r="P149" s="54">
        <f t="shared" si="81"/>
        <v>0</v>
      </c>
    </row>
    <row r="150" spans="2:16" ht="12.5">
      <c r="B150" s="7" t="str">
        <f t="shared" si="48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6"/>
        <v>0</v>
      </c>
      <c r="G150" s="55">
        <f t="shared" si="77"/>
        <v>0</v>
      </c>
      <c r="H150" s="356">
        <f t="shared" si="74"/>
        <v>0</v>
      </c>
      <c r="I150" s="381">
        <f t="shared" si="75"/>
        <v>0</v>
      </c>
      <c r="J150" s="54">
        <f t="shared" si="78"/>
        <v>0</v>
      </c>
      <c r="K150" s="54"/>
      <c r="L150" s="115"/>
      <c r="M150" s="54">
        <f t="shared" si="79"/>
        <v>0</v>
      </c>
      <c r="N150" s="115"/>
      <c r="O150" s="54">
        <f t="shared" si="80"/>
        <v>0</v>
      </c>
      <c r="P150" s="54">
        <f t="shared" si="81"/>
        <v>0</v>
      </c>
    </row>
    <row r="151" spans="2:16" ht="12.5">
      <c r="B151" s="7" t="str">
        <f t="shared" si="48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6"/>
        <v>0</v>
      </c>
      <c r="G151" s="55">
        <f t="shared" si="77"/>
        <v>0</v>
      </c>
      <c r="H151" s="356">
        <f t="shared" si="74"/>
        <v>0</v>
      </c>
      <c r="I151" s="381">
        <f t="shared" si="75"/>
        <v>0</v>
      </c>
      <c r="J151" s="54">
        <f t="shared" si="78"/>
        <v>0</v>
      </c>
      <c r="K151" s="54"/>
      <c r="L151" s="115"/>
      <c r="M151" s="54">
        <f t="shared" si="79"/>
        <v>0</v>
      </c>
      <c r="N151" s="115"/>
      <c r="O151" s="54">
        <f t="shared" si="80"/>
        <v>0</v>
      </c>
      <c r="P151" s="54">
        <f t="shared" si="81"/>
        <v>0</v>
      </c>
    </row>
    <row r="152" spans="2:16" ht="12.5">
      <c r="B152" s="7" t="str">
        <f t="shared" si="48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6"/>
        <v>0</v>
      </c>
      <c r="G152" s="55">
        <f t="shared" si="77"/>
        <v>0</v>
      </c>
      <c r="H152" s="356">
        <f t="shared" si="74"/>
        <v>0</v>
      </c>
      <c r="I152" s="381">
        <f t="shared" si="75"/>
        <v>0</v>
      </c>
      <c r="J152" s="54">
        <f t="shared" si="78"/>
        <v>0</v>
      </c>
      <c r="K152" s="54"/>
      <c r="L152" s="115"/>
      <c r="M152" s="54">
        <f t="shared" si="79"/>
        <v>0</v>
      </c>
      <c r="N152" s="115"/>
      <c r="O152" s="54">
        <f t="shared" si="80"/>
        <v>0</v>
      </c>
      <c r="P152" s="54">
        <f t="shared" si="81"/>
        <v>0</v>
      </c>
    </row>
    <row r="153" spans="2:16" ht="12.5">
      <c r="B153" s="7" t="str">
        <f t="shared" si="48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6"/>
        <v>0</v>
      </c>
      <c r="G153" s="55">
        <f t="shared" si="77"/>
        <v>0</v>
      </c>
      <c r="H153" s="356">
        <f t="shared" si="74"/>
        <v>0</v>
      </c>
      <c r="I153" s="381">
        <f t="shared" si="75"/>
        <v>0</v>
      </c>
      <c r="J153" s="54">
        <f t="shared" si="78"/>
        <v>0</v>
      </c>
      <c r="K153" s="54"/>
      <c r="L153" s="115"/>
      <c r="M153" s="54">
        <f t="shared" si="79"/>
        <v>0</v>
      </c>
      <c r="N153" s="115"/>
      <c r="O153" s="54">
        <f t="shared" si="80"/>
        <v>0</v>
      </c>
      <c r="P153" s="54">
        <f t="shared" si="81"/>
        <v>0</v>
      </c>
    </row>
    <row r="154" spans="2:16" ht="13" thickBot="1">
      <c r="B154" s="7" t="str">
        <f t="shared" si="48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6"/>
        <v>0</v>
      </c>
      <c r="G154" s="59">
        <f t="shared" si="77"/>
        <v>0</v>
      </c>
      <c r="H154" s="358">
        <f t="shared" si="74"/>
        <v>0</v>
      </c>
      <c r="I154" s="383">
        <f t="shared" si="75"/>
        <v>0</v>
      </c>
      <c r="J154" s="62">
        <f t="shared" si="78"/>
        <v>0</v>
      </c>
      <c r="K154" s="54"/>
      <c r="L154" s="116"/>
      <c r="M154" s="62">
        <f t="shared" si="79"/>
        <v>0</v>
      </c>
      <c r="N154" s="116"/>
      <c r="O154" s="62">
        <f t="shared" si="80"/>
        <v>0</v>
      </c>
      <c r="P154" s="62">
        <f t="shared" si="81"/>
        <v>0</v>
      </c>
    </row>
    <row r="155" spans="2:16" ht="12.5">
      <c r="C155" s="12" t="s">
        <v>77</v>
      </c>
      <c r="D155" s="267"/>
      <c r="E155" s="267">
        <f>SUM(E99:E154)</f>
        <v>11456065</v>
      </c>
      <c r="F155" s="267"/>
      <c r="G155" s="267"/>
      <c r="H155" s="267">
        <f>SUM(H99:H154)</f>
        <v>43525308.148091547</v>
      </c>
      <c r="I155" s="267">
        <f>SUM(I99:I154)</f>
        <v>43525308.148091547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V162"/>
  <sheetViews>
    <sheetView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4 of 37</v>
      </c>
    </row>
    <row r="2" spans="1:16" ht="20">
      <c r="A2" s="290"/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 t="s">
        <v>251</v>
      </c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VLOOKUP(I10,C17:I72,5)-O5</f>
        <v>1401235.2</v>
      </c>
      <c r="O5" s="387">
        <f>1307.4*12</f>
        <v>15688.800000000001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VLOOKUP(I10,C17:I72,6)-O5</f>
        <v>1401235.2</v>
      </c>
      <c r="O6" s="1"/>
      <c r="P6" s="1"/>
    </row>
    <row r="7" spans="1:16" ht="13.5" thickBot="1">
      <c r="C7" s="26" t="s">
        <v>46</v>
      </c>
      <c r="D7" s="332" t="s">
        <v>207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82</v>
      </c>
      <c r="E9" s="404" t="s">
        <v>351</v>
      </c>
      <c r="F9" s="32"/>
      <c r="G9" s="452" t="s">
        <v>390</v>
      </c>
      <c r="H9" s="32"/>
      <c r="I9" s="33"/>
      <c r="J9" s="34"/>
      <c r="P9" s="1"/>
    </row>
    <row r="10" spans="1:16" ht="13">
      <c r="C10" s="128" t="s">
        <v>226</v>
      </c>
      <c r="D10" s="336">
        <v>14615636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2008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7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384622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88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2008</v>
      </c>
      <c r="D17" s="389">
        <v>2264444</v>
      </c>
      <c r="E17" s="350">
        <v>21774</v>
      </c>
      <c r="F17" s="349">
        <v>2242670</v>
      </c>
      <c r="G17" s="350">
        <v>215833</v>
      </c>
      <c r="H17" s="350">
        <v>215833</v>
      </c>
      <c r="I17" s="52">
        <f t="shared" ref="I17:I48" si="0">H17-G17</f>
        <v>0</v>
      </c>
      <c r="J17" s="63"/>
      <c r="K17" s="324">
        <v>215833</v>
      </c>
      <c r="L17" s="390">
        <f t="shared" ref="L17:L48" si="1">IF(K17&lt;&gt;0,+G17-K17,0)</f>
        <v>0</v>
      </c>
      <c r="M17" s="117">
        <v>215833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349">
        <v>14429811</v>
      </c>
      <c r="E18" s="352">
        <v>274418</v>
      </c>
      <c r="F18" s="349">
        <v>14155393</v>
      </c>
      <c r="G18" s="352">
        <v>2443110</v>
      </c>
      <c r="H18" s="352">
        <v>2443110</v>
      </c>
      <c r="I18" s="52">
        <f t="shared" si="0"/>
        <v>0</v>
      </c>
      <c r="J18" s="52"/>
      <c r="K18" s="324">
        <v>2443110</v>
      </c>
      <c r="L18" s="54">
        <f t="shared" si="1"/>
        <v>0</v>
      </c>
      <c r="M18" s="324">
        <v>2443110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351">
        <v>14390719</v>
      </c>
      <c r="E19" s="352">
        <v>262266.26785714284</v>
      </c>
      <c r="F19" s="351">
        <v>14128452.732142856</v>
      </c>
      <c r="G19" s="352">
        <v>2300952.2678571427</v>
      </c>
      <c r="H19" s="353">
        <v>2300952.2678571427</v>
      </c>
      <c r="I19" s="52">
        <f t="shared" si="0"/>
        <v>0</v>
      </c>
      <c r="J19" s="52"/>
      <c r="K19" s="324">
        <f t="shared" ref="K19:K24" si="4">G19</f>
        <v>2300952.2678571427</v>
      </c>
      <c r="L19" s="54">
        <f t="shared" si="1"/>
        <v>0</v>
      </c>
      <c r="M19" s="324">
        <f t="shared" ref="M19:M24" si="5">H19</f>
        <v>2300952.2678571427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351">
        <v>14057177.732142856</v>
      </c>
      <c r="E20" s="352">
        <v>286581.09803921566</v>
      </c>
      <c r="F20" s="351">
        <v>13770596.634103641</v>
      </c>
      <c r="G20" s="352">
        <v>2442276.0980392154</v>
      </c>
      <c r="H20" s="353">
        <v>2442276.0980392154</v>
      </c>
      <c r="I20" s="52">
        <f t="shared" si="0"/>
        <v>0</v>
      </c>
      <c r="J20" s="52"/>
      <c r="K20" s="324">
        <f t="shared" si="4"/>
        <v>2442276.0980392154</v>
      </c>
      <c r="L20" s="54">
        <f t="shared" si="1"/>
        <v>0</v>
      </c>
      <c r="M20" s="324">
        <f t="shared" si="5"/>
        <v>2442276.0980392154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351">
        <v>13770596.634103641</v>
      </c>
      <c r="E21" s="352">
        <v>281069.92307692306</v>
      </c>
      <c r="F21" s="351">
        <v>13489526.711026717</v>
      </c>
      <c r="G21" s="352">
        <v>2158902.923076923</v>
      </c>
      <c r="H21" s="353">
        <v>2158902.923076923</v>
      </c>
      <c r="I21" s="52">
        <f t="shared" si="0"/>
        <v>0</v>
      </c>
      <c r="J21" s="52"/>
      <c r="K21" s="324">
        <f t="shared" si="4"/>
        <v>2158902.923076923</v>
      </c>
      <c r="L21" s="54">
        <f t="shared" si="1"/>
        <v>0</v>
      </c>
      <c r="M21" s="324">
        <f t="shared" si="5"/>
        <v>2158902.923076923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351">
        <v>13489526.711026717</v>
      </c>
      <c r="E22" s="352">
        <v>281069.92307692306</v>
      </c>
      <c r="F22" s="351">
        <v>13208456.787949793</v>
      </c>
      <c r="G22" s="352">
        <v>2167326.923076923</v>
      </c>
      <c r="H22" s="353">
        <v>2167326.923076923</v>
      </c>
      <c r="I22" s="52">
        <v>0</v>
      </c>
      <c r="J22" s="52"/>
      <c r="K22" s="324">
        <f t="shared" si="4"/>
        <v>2167326.923076923</v>
      </c>
      <c r="L22" s="54">
        <f t="shared" ref="L22:L27" si="7">IF(K22&lt;&gt;0,+G22-K22,0)</f>
        <v>0</v>
      </c>
      <c r="M22" s="324">
        <f t="shared" si="5"/>
        <v>2167326.923076923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351">
        <v>13208456.787949793</v>
      </c>
      <c r="E23" s="352">
        <v>281069.92307692306</v>
      </c>
      <c r="F23" s="351">
        <v>12927386.864872869</v>
      </c>
      <c r="G23" s="352">
        <v>2060637.923076923</v>
      </c>
      <c r="H23" s="353">
        <v>2060637.923076923</v>
      </c>
      <c r="I23" s="52">
        <v>0</v>
      </c>
      <c r="J23" s="52"/>
      <c r="K23" s="324">
        <f t="shared" si="4"/>
        <v>2060637.923076923</v>
      </c>
      <c r="L23" s="54">
        <f t="shared" si="7"/>
        <v>0</v>
      </c>
      <c r="M23" s="324">
        <f t="shared" si="5"/>
        <v>2060637.923076923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351">
        <v>12927386.864872869</v>
      </c>
      <c r="E24" s="352">
        <v>281069.92307692306</v>
      </c>
      <c r="F24" s="351">
        <v>12646316.941795945</v>
      </c>
      <c r="G24" s="352">
        <v>2024638.923076923</v>
      </c>
      <c r="H24" s="353">
        <v>2024638.923076923</v>
      </c>
      <c r="I24" s="52">
        <v>0</v>
      </c>
      <c r="J24" s="52"/>
      <c r="K24" s="324">
        <f t="shared" si="4"/>
        <v>2024638.923076923</v>
      </c>
      <c r="L24" s="54">
        <f t="shared" si="7"/>
        <v>0</v>
      </c>
      <c r="M24" s="324">
        <f t="shared" si="5"/>
        <v>2024638.923076923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351">
        <v>12646316.941795945</v>
      </c>
      <c r="E25" s="352">
        <v>281069.92307692306</v>
      </c>
      <c r="F25" s="351">
        <v>12365247.018719021</v>
      </c>
      <c r="G25" s="352">
        <v>1902890.923076923</v>
      </c>
      <c r="H25" s="353">
        <v>1902890.923076923</v>
      </c>
      <c r="I25" s="52">
        <f t="shared" si="0"/>
        <v>0</v>
      </c>
      <c r="J25" s="52"/>
      <c r="K25" s="324">
        <f t="shared" ref="K25:K30" si="10">G25</f>
        <v>1902890.923076923</v>
      </c>
      <c r="L25" s="54">
        <f t="shared" si="7"/>
        <v>0</v>
      </c>
      <c r="M25" s="324">
        <f t="shared" ref="M25:M30" si="11">H25</f>
        <v>1902890.923076923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351">
        <v>12365247.018719021</v>
      </c>
      <c r="E26" s="352">
        <v>317731.21739130432</v>
      </c>
      <c r="F26" s="351">
        <v>12047515.801327717</v>
      </c>
      <c r="G26" s="352">
        <v>1850906.2173913042</v>
      </c>
      <c r="H26" s="353">
        <v>1850906.2173913042</v>
      </c>
      <c r="I26" s="52">
        <f t="shared" si="0"/>
        <v>0</v>
      </c>
      <c r="J26" s="52"/>
      <c r="K26" s="324">
        <f t="shared" si="10"/>
        <v>1850906.2173913042</v>
      </c>
      <c r="L26" s="54">
        <f t="shared" si="7"/>
        <v>0</v>
      </c>
      <c r="M26" s="324">
        <f t="shared" si="11"/>
        <v>1850906.2173913042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351">
        <v>12047515.801327717</v>
      </c>
      <c r="E27" s="352">
        <v>324791.91111111111</v>
      </c>
      <c r="F27" s="351">
        <v>11722723.890216606</v>
      </c>
      <c r="G27" s="352">
        <v>1748141.2740256879</v>
      </c>
      <c r="H27" s="353">
        <v>1748141.2740256879</v>
      </c>
      <c r="I27" s="52">
        <f t="shared" si="0"/>
        <v>0</v>
      </c>
      <c r="J27" s="52"/>
      <c r="K27" s="324">
        <f t="shared" si="10"/>
        <v>1748141.2740256879</v>
      </c>
      <c r="L27" s="54">
        <f t="shared" si="7"/>
        <v>0</v>
      </c>
      <c r="M27" s="324">
        <f t="shared" si="11"/>
        <v>1748141.2740256879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351">
        <v>11722723.890216606</v>
      </c>
      <c r="E28" s="352">
        <v>365390.9</v>
      </c>
      <c r="F28" s="351">
        <v>11357332.990216605</v>
      </c>
      <c r="G28" s="352">
        <v>1653911.6007125233</v>
      </c>
      <c r="H28" s="353">
        <v>1653911.6007125233</v>
      </c>
      <c r="I28" s="52">
        <f t="shared" si="0"/>
        <v>0</v>
      </c>
      <c r="J28" s="52"/>
      <c r="K28" s="324">
        <f t="shared" si="10"/>
        <v>1653911.6007125233</v>
      </c>
      <c r="L28" s="54">
        <f t="shared" ref="L28" si="12">IF(K28&lt;&gt;0,+G28-K28,0)</f>
        <v>0</v>
      </c>
      <c r="M28" s="324">
        <f t="shared" si="11"/>
        <v>1653911.6007125233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 ht="12.5">
      <c r="B29" s="7" t="str">
        <f t="shared" si="6"/>
        <v>IU</v>
      </c>
      <c r="C29" s="50">
        <f>IF(D11="","-",+C28+1)</f>
        <v>2020</v>
      </c>
      <c r="D29" s="351">
        <v>11397931.979105495</v>
      </c>
      <c r="E29" s="352">
        <v>347991.33333333331</v>
      </c>
      <c r="F29" s="351">
        <v>11049940.645772161</v>
      </c>
      <c r="G29" s="352">
        <v>1560230.0708098114</v>
      </c>
      <c r="H29" s="353">
        <v>1560230.0708098114</v>
      </c>
      <c r="I29" s="52">
        <f t="shared" si="0"/>
        <v>0</v>
      </c>
      <c r="J29" s="52"/>
      <c r="K29" s="324">
        <f t="shared" si="10"/>
        <v>1560230.0708098114</v>
      </c>
      <c r="L29" s="54">
        <f t="shared" ref="L29" si="15">IF(K29&lt;&gt;0,+G29-K29,0)</f>
        <v>0</v>
      </c>
      <c r="M29" s="324">
        <f t="shared" si="11"/>
        <v>1560230.0708098114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351">
        <v>11009341.656883277</v>
      </c>
      <c r="E30" s="352">
        <v>339898.51162790699</v>
      </c>
      <c r="F30" s="351">
        <v>10669443.14525537</v>
      </c>
      <c r="G30" s="352">
        <v>1490295.5116279069</v>
      </c>
      <c r="H30" s="353">
        <v>1490295.5116279069</v>
      </c>
      <c r="I30" s="52">
        <f t="shared" si="0"/>
        <v>0</v>
      </c>
      <c r="J30" s="52"/>
      <c r="K30" s="324">
        <f t="shared" si="10"/>
        <v>1490295.5116279069</v>
      </c>
      <c r="L30" s="54">
        <f t="shared" ref="L30" si="16">IF(K30&lt;&gt;0,+G30-K30,0)</f>
        <v>0</v>
      </c>
      <c r="M30" s="324">
        <f t="shared" si="11"/>
        <v>1490295.5116279069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2022</v>
      </c>
      <c r="D31" s="351">
        <v>10669443.14525537</v>
      </c>
      <c r="E31" s="352">
        <v>347991.33333333331</v>
      </c>
      <c r="F31" s="351">
        <v>10321451.811922036</v>
      </c>
      <c r="G31" s="352">
        <v>1460760.3333333333</v>
      </c>
      <c r="H31" s="353">
        <v>1460760.3333333333</v>
      </c>
      <c r="I31" s="52">
        <f t="shared" si="0"/>
        <v>0</v>
      </c>
      <c r="J31" s="52"/>
      <c r="K31" s="324">
        <f t="shared" ref="K31" si="17">G31</f>
        <v>1460760.3333333333</v>
      </c>
      <c r="L31" s="54">
        <f t="shared" ref="L31" si="18">IF(K31&lt;&gt;0,+G31-K31,0)</f>
        <v>0</v>
      </c>
      <c r="M31" s="324">
        <f t="shared" ref="M31" si="19">H31</f>
        <v>1460760.3333333333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351">
        <v>10321451.811922036</v>
      </c>
      <c r="E32" s="352">
        <v>374759.89743589744</v>
      </c>
      <c r="F32" s="351">
        <v>9946691.9144861382</v>
      </c>
      <c r="G32" s="352">
        <v>1561986.8974358975</v>
      </c>
      <c r="H32" s="353">
        <v>1561986.8974358975</v>
      </c>
      <c r="I32" s="52">
        <f t="shared" si="0"/>
        <v>0</v>
      </c>
      <c r="J32" s="52"/>
      <c r="K32" s="324">
        <f t="shared" ref="K32" si="20">G32</f>
        <v>1561986.8974358975</v>
      </c>
      <c r="L32" s="54">
        <f t="shared" ref="L32" si="21">IF(K32&lt;&gt;0,+G32-K32,0)</f>
        <v>0</v>
      </c>
      <c r="M32" s="324">
        <f t="shared" ref="M32" si="22">H32</f>
        <v>1561986.8974358975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 ht="12.5">
      <c r="B33" s="7" t="str">
        <f t="shared" si="6"/>
        <v/>
      </c>
      <c r="C33" s="450">
        <f>IF(D11="","-",+C32+1)</f>
        <v>2024</v>
      </c>
      <c r="D33" s="351">
        <v>9946691.9144861382</v>
      </c>
      <c r="E33" s="352">
        <v>384622</v>
      </c>
      <c r="F33" s="351">
        <v>9562069.9144861382</v>
      </c>
      <c r="G33" s="352">
        <v>1472214</v>
      </c>
      <c r="H33" s="353">
        <v>1472214</v>
      </c>
      <c r="I33" s="52">
        <f t="shared" si="0"/>
        <v>0</v>
      </c>
      <c r="J33" s="52"/>
      <c r="K33" s="324">
        <f t="shared" ref="K33" si="25">G33</f>
        <v>1472214</v>
      </c>
      <c r="L33" s="54">
        <f t="shared" ref="L33" si="26">IF(K33&lt;&gt;0,+G33-K33,0)</f>
        <v>0</v>
      </c>
      <c r="M33" s="324">
        <f t="shared" ref="M33" si="27">H33</f>
        <v>1472214</v>
      </c>
      <c r="N33" s="54">
        <f t="shared" ref="N33" si="28">IF(M33&lt;&gt;0,+H33-M33,0)</f>
        <v>0</v>
      </c>
      <c r="O33" s="54">
        <f t="shared" ref="O33" si="29">+N33-L33</f>
        <v>0</v>
      </c>
      <c r="P33" s="1"/>
    </row>
    <row r="34" spans="2:16" ht="13">
      <c r="B34" s="7" t="str">
        <f t="shared" si="6"/>
        <v/>
      </c>
      <c r="C34" s="449">
        <f>IF(D11="","-",+C33+1)</f>
        <v>2025</v>
      </c>
      <c r="D34" s="351">
        <v>9562069.9144861382</v>
      </c>
      <c r="E34" s="352">
        <v>384622</v>
      </c>
      <c r="F34" s="351">
        <v>9177447.9144861382</v>
      </c>
      <c r="G34" s="352">
        <v>1427240</v>
      </c>
      <c r="H34" s="353">
        <v>1427240</v>
      </c>
      <c r="I34" s="52">
        <f t="shared" si="0"/>
        <v>0</v>
      </c>
      <c r="J34" s="52"/>
      <c r="K34" s="324">
        <f t="shared" ref="K34" si="30">G34</f>
        <v>1427240</v>
      </c>
      <c r="L34" s="54">
        <f t="shared" ref="L34" si="31">IF(K34&lt;&gt;0,+G34-K34,0)</f>
        <v>0</v>
      </c>
      <c r="M34" s="324">
        <f t="shared" ref="M34" si="32">H34</f>
        <v>1427240</v>
      </c>
      <c r="N34" s="54">
        <f t="shared" ref="N34" si="33">IF(M34&lt;&gt;0,+H34-M34,0)</f>
        <v>0</v>
      </c>
      <c r="O34" s="54">
        <f t="shared" ref="O34" si="34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9177447.9144861382</v>
      </c>
      <c r="E35" s="354">
        <f>IF(+I14&lt;F34,I14,D35)</f>
        <v>384622</v>
      </c>
      <c r="F35" s="55">
        <f t="shared" ref="F35:F72" si="35">+D35-E35</f>
        <v>8792825.9144861382</v>
      </c>
      <c r="G35" s="355">
        <f t="shared" ref="G35:G72" si="36">ROUND(I$12*F35,0)+E35</f>
        <v>1416924</v>
      </c>
      <c r="H35" s="337">
        <f t="shared" ref="H35:H72" si="37">ROUND(I$13*F35,0)+E35</f>
        <v>1416924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8792825.9144861382</v>
      </c>
      <c r="E36" s="354">
        <f>IF(+I14&lt;F35,I14,D36)</f>
        <v>384622</v>
      </c>
      <c r="F36" s="55">
        <f t="shared" si="35"/>
        <v>8408203.9144861382</v>
      </c>
      <c r="G36" s="355">
        <f t="shared" si="36"/>
        <v>1371768</v>
      </c>
      <c r="H36" s="337">
        <f t="shared" si="37"/>
        <v>1371768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8408203.9144861382</v>
      </c>
      <c r="E37" s="354">
        <f>IF(+I14&lt;F36,I14,D37)</f>
        <v>384622</v>
      </c>
      <c r="F37" s="55">
        <f t="shared" si="35"/>
        <v>8023581.9144861382</v>
      </c>
      <c r="G37" s="355">
        <f t="shared" si="36"/>
        <v>1326612</v>
      </c>
      <c r="H37" s="337">
        <f t="shared" si="37"/>
        <v>1326612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8023581.9144861382</v>
      </c>
      <c r="E38" s="354">
        <f>IF(+I14&lt;F37,I14,D38)</f>
        <v>384622</v>
      </c>
      <c r="F38" s="55">
        <f t="shared" si="35"/>
        <v>7638959.9144861382</v>
      </c>
      <c r="G38" s="355">
        <f t="shared" si="36"/>
        <v>1281457</v>
      </c>
      <c r="H38" s="337">
        <f t="shared" si="37"/>
        <v>1281457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7638959.9144861382</v>
      </c>
      <c r="E39" s="354">
        <f>IF(+I14&lt;F38,I14,D39)</f>
        <v>384622</v>
      </c>
      <c r="F39" s="55">
        <f t="shared" si="35"/>
        <v>7254337.9144861382</v>
      </c>
      <c r="G39" s="355">
        <f t="shared" si="36"/>
        <v>1236301</v>
      </c>
      <c r="H39" s="337">
        <f t="shared" si="37"/>
        <v>1236301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7254337.9144861382</v>
      </c>
      <c r="E40" s="354">
        <f>IF(+I14&lt;F39,I14,D40)</f>
        <v>384622</v>
      </c>
      <c r="F40" s="55">
        <f t="shared" si="35"/>
        <v>6869715.9144861382</v>
      </c>
      <c r="G40" s="355">
        <f t="shared" si="36"/>
        <v>1191145</v>
      </c>
      <c r="H40" s="337">
        <f t="shared" si="37"/>
        <v>1191145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6869715.9144861382</v>
      </c>
      <c r="E41" s="354">
        <f>IF(+I14&lt;F40,I14,D41)</f>
        <v>384622</v>
      </c>
      <c r="F41" s="55">
        <f t="shared" si="35"/>
        <v>6485093.9144861382</v>
      </c>
      <c r="G41" s="355">
        <f t="shared" si="36"/>
        <v>1145990</v>
      </c>
      <c r="H41" s="337">
        <f t="shared" si="37"/>
        <v>1145990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6485093.9144861382</v>
      </c>
      <c r="E42" s="354">
        <f>IF(+I14&lt;F41,I14,D42)</f>
        <v>384622</v>
      </c>
      <c r="F42" s="55">
        <f t="shared" si="35"/>
        <v>6100471.9144861382</v>
      </c>
      <c r="G42" s="355">
        <f t="shared" si="36"/>
        <v>1100834</v>
      </c>
      <c r="H42" s="337">
        <f t="shared" si="37"/>
        <v>1100834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6100471.9144861382</v>
      </c>
      <c r="E43" s="354">
        <f>IF(+I14&lt;F42,I14,D43)</f>
        <v>384622</v>
      </c>
      <c r="F43" s="55">
        <f t="shared" si="35"/>
        <v>5715849.9144861382</v>
      </c>
      <c r="G43" s="355">
        <f t="shared" si="36"/>
        <v>1055678</v>
      </c>
      <c r="H43" s="337">
        <f t="shared" si="37"/>
        <v>1055678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5715849.9144861382</v>
      </c>
      <c r="E44" s="354">
        <f>IF(+I14&lt;F43,I14,D44)</f>
        <v>384622</v>
      </c>
      <c r="F44" s="55">
        <f t="shared" si="35"/>
        <v>5331227.9144861382</v>
      </c>
      <c r="G44" s="355">
        <f t="shared" si="36"/>
        <v>1010523</v>
      </c>
      <c r="H44" s="337">
        <f t="shared" si="37"/>
        <v>1010523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5331227.9144861382</v>
      </c>
      <c r="E45" s="354">
        <f>IF(+I14&lt;F44,I14,D45)</f>
        <v>384622</v>
      </c>
      <c r="F45" s="55">
        <f t="shared" si="35"/>
        <v>4946605.9144861382</v>
      </c>
      <c r="G45" s="355">
        <f t="shared" si="36"/>
        <v>965367</v>
      </c>
      <c r="H45" s="337">
        <f t="shared" si="37"/>
        <v>965367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4946605.9144861382</v>
      </c>
      <c r="E46" s="354">
        <f>IF(+I14&lt;F45,I14,D46)</f>
        <v>384622</v>
      </c>
      <c r="F46" s="55">
        <f t="shared" si="35"/>
        <v>4561983.9144861382</v>
      </c>
      <c r="G46" s="355">
        <f t="shared" si="36"/>
        <v>920211</v>
      </c>
      <c r="H46" s="337">
        <f t="shared" si="37"/>
        <v>920211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4561983.9144861382</v>
      </c>
      <c r="E47" s="354">
        <f>IF(+I14&lt;F46,I14,D47)</f>
        <v>384622</v>
      </c>
      <c r="F47" s="55">
        <f t="shared" si="35"/>
        <v>4177361.9144861382</v>
      </c>
      <c r="G47" s="355">
        <f t="shared" si="36"/>
        <v>875056</v>
      </c>
      <c r="H47" s="337">
        <f t="shared" si="37"/>
        <v>875056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4177361.9144861382</v>
      </c>
      <c r="E48" s="354">
        <f>IF(+I14&lt;F47,I14,D48)</f>
        <v>384622</v>
      </c>
      <c r="F48" s="55">
        <f t="shared" si="35"/>
        <v>3792739.9144861382</v>
      </c>
      <c r="G48" s="355">
        <f t="shared" si="36"/>
        <v>829900</v>
      </c>
      <c r="H48" s="337">
        <f t="shared" si="37"/>
        <v>829900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3792739.9144861382</v>
      </c>
      <c r="E49" s="354">
        <f>IF(+I14&lt;F48,I14,D49)</f>
        <v>384622</v>
      </c>
      <c r="F49" s="55">
        <f t="shared" si="35"/>
        <v>3408117.9144861382</v>
      </c>
      <c r="G49" s="355">
        <f t="shared" si="36"/>
        <v>784744</v>
      </c>
      <c r="H49" s="337">
        <f t="shared" si="37"/>
        <v>784744</v>
      </c>
      <c r="I49" s="52">
        <f t="shared" ref="I49:I72" si="38">H49-G49</f>
        <v>0</v>
      </c>
      <c r="J49" s="52"/>
      <c r="K49" s="115"/>
      <c r="L49" s="54">
        <f t="shared" ref="L49:L72" si="39">IF(K49&lt;&gt;0,+G49-K49,0)</f>
        <v>0</v>
      </c>
      <c r="M49" s="115"/>
      <c r="N49" s="54">
        <f t="shared" ref="N49:N72" si="40">IF(M49&lt;&gt;0,+H49-M49,0)</f>
        <v>0</v>
      </c>
      <c r="O49" s="54">
        <f t="shared" ref="O49:O72" si="41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3408117.9144861382</v>
      </c>
      <c r="E50" s="354">
        <f>IF(+I14&lt;F49,I14,D50)</f>
        <v>384622</v>
      </c>
      <c r="F50" s="55">
        <f t="shared" si="35"/>
        <v>3023495.9144861382</v>
      </c>
      <c r="G50" s="355">
        <f t="shared" si="36"/>
        <v>739589</v>
      </c>
      <c r="H50" s="337">
        <f t="shared" si="37"/>
        <v>739589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22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3023495.9144861382</v>
      </c>
      <c r="E51" s="354">
        <f>IF(+I14&lt;F50,I14,D51)</f>
        <v>384622</v>
      </c>
      <c r="F51" s="55">
        <f t="shared" si="35"/>
        <v>2638873.9144861382</v>
      </c>
      <c r="G51" s="355">
        <f t="shared" si="36"/>
        <v>694433</v>
      </c>
      <c r="H51" s="337">
        <f t="shared" si="37"/>
        <v>694433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2638873.9144861382</v>
      </c>
      <c r="E52" s="354">
        <f>IF(+I14&lt;F51,I14,D52)</f>
        <v>384622</v>
      </c>
      <c r="F52" s="55">
        <f t="shared" si="35"/>
        <v>2254251.9144861382</v>
      </c>
      <c r="G52" s="355">
        <f t="shared" si="36"/>
        <v>649277</v>
      </c>
      <c r="H52" s="337">
        <f t="shared" si="37"/>
        <v>649277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22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2254251.9144861382</v>
      </c>
      <c r="E53" s="354">
        <f>IF(+I14&lt;F52,I14,D53)</f>
        <v>384622</v>
      </c>
      <c r="F53" s="55">
        <f t="shared" si="35"/>
        <v>1869629.9144861382</v>
      </c>
      <c r="G53" s="355">
        <f t="shared" si="36"/>
        <v>604122</v>
      </c>
      <c r="H53" s="337">
        <f t="shared" si="37"/>
        <v>604122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22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1869629.9144861382</v>
      </c>
      <c r="E54" s="354">
        <f>IF(+I14&lt;F53,I14,D54)</f>
        <v>384622</v>
      </c>
      <c r="F54" s="55">
        <f t="shared" si="35"/>
        <v>1485007.9144861382</v>
      </c>
      <c r="G54" s="355">
        <f t="shared" si="36"/>
        <v>558966</v>
      </c>
      <c r="H54" s="337">
        <f t="shared" si="37"/>
        <v>558966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22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1485007.9144861382</v>
      </c>
      <c r="E55" s="354">
        <f>IF(+I14&lt;F54,I14,D55)</f>
        <v>384622</v>
      </c>
      <c r="F55" s="55">
        <f t="shared" si="35"/>
        <v>1100385.9144861382</v>
      </c>
      <c r="G55" s="355">
        <f t="shared" si="36"/>
        <v>513810</v>
      </c>
      <c r="H55" s="337">
        <f t="shared" si="37"/>
        <v>513810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22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1100385.9144861382</v>
      </c>
      <c r="E56" s="354">
        <f>IF(+I14&lt;F55,I14,D56)</f>
        <v>384622</v>
      </c>
      <c r="F56" s="55">
        <f t="shared" si="35"/>
        <v>715763.91448613815</v>
      </c>
      <c r="G56" s="355">
        <f t="shared" si="36"/>
        <v>468655</v>
      </c>
      <c r="H56" s="337">
        <f t="shared" si="37"/>
        <v>468655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22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715763.91448613815</v>
      </c>
      <c r="E57" s="354">
        <f>IF(+I14&lt;F56,I14,D57)</f>
        <v>384622</v>
      </c>
      <c r="F57" s="55">
        <f t="shared" si="35"/>
        <v>331141.91448613815</v>
      </c>
      <c r="G57" s="355">
        <f t="shared" si="36"/>
        <v>423499</v>
      </c>
      <c r="H57" s="337">
        <f t="shared" si="37"/>
        <v>423499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22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331141.91448613815</v>
      </c>
      <c r="E58" s="354">
        <f>IF(+I14&lt;F57,I14,D58)</f>
        <v>331141.91448613815</v>
      </c>
      <c r="F58" s="55">
        <f t="shared" si="35"/>
        <v>0</v>
      </c>
      <c r="G58" s="355">
        <f t="shared" si="36"/>
        <v>331141.91448613815</v>
      </c>
      <c r="H58" s="337">
        <f t="shared" si="37"/>
        <v>331141.91448613815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22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35"/>
        <v>0</v>
      </c>
      <c r="G59" s="355">
        <f t="shared" si="36"/>
        <v>0</v>
      </c>
      <c r="H59" s="337">
        <f t="shared" si="37"/>
        <v>0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22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35"/>
        <v>0</v>
      </c>
      <c r="G60" s="355">
        <f t="shared" si="36"/>
        <v>0</v>
      </c>
      <c r="H60" s="337">
        <f t="shared" si="37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22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35"/>
        <v>0</v>
      </c>
      <c r="G61" s="356">
        <f t="shared" si="36"/>
        <v>0</v>
      </c>
      <c r="H61" s="337">
        <f t="shared" si="37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22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35"/>
        <v>0</v>
      </c>
      <c r="G62" s="356">
        <f t="shared" si="36"/>
        <v>0</v>
      </c>
      <c r="H62" s="337">
        <f t="shared" si="37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22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35"/>
        <v>0</v>
      </c>
      <c r="G63" s="356">
        <f t="shared" si="36"/>
        <v>0</v>
      </c>
      <c r="H63" s="337">
        <f t="shared" si="37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22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35"/>
        <v>0</v>
      </c>
      <c r="G64" s="356">
        <f t="shared" si="36"/>
        <v>0</v>
      </c>
      <c r="H64" s="337">
        <f t="shared" si="37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35"/>
        <v>0</v>
      </c>
      <c r="G65" s="356">
        <f t="shared" si="36"/>
        <v>0</v>
      </c>
      <c r="H65" s="337">
        <f t="shared" si="37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35"/>
        <v>0</v>
      </c>
      <c r="G66" s="356">
        <f t="shared" si="36"/>
        <v>0</v>
      </c>
      <c r="H66" s="337">
        <f t="shared" si="37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35"/>
        <v>0</v>
      </c>
      <c r="G67" s="356">
        <f t="shared" si="36"/>
        <v>0</v>
      </c>
      <c r="H67" s="337">
        <f t="shared" si="37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35"/>
        <v>0</v>
      </c>
      <c r="G68" s="356">
        <f t="shared" si="36"/>
        <v>0</v>
      </c>
      <c r="H68" s="337">
        <f t="shared" si="37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35"/>
        <v>0</v>
      </c>
      <c r="G69" s="356">
        <f t="shared" si="36"/>
        <v>0</v>
      </c>
      <c r="H69" s="337">
        <f t="shared" si="37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35"/>
        <v>0</v>
      </c>
      <c r="G70" s="356">
        <f t="shared" si="36"/>
        <v>0</v>
      </c>
      <c r="H70" s="337">
        <f t="shared" si="37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35"/>
        <v>0</v>
      </c>
      <c r="G71" s="356">
        <f t="shared" si="36"/>
        <v>0</v>
      </c>
      <c r="H71" s="337">
        <f t="shared" si="37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35"/>
        <v>0</v>
      </c>
      <c r="G72" s="358">
        <f t="shared" si="36"/>
        <v>0</v>
      </c>
      <c r="H72" s="335">
        <f t="shared" si="37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 ht="12.5">
      <c r="C73" s="12" t="s">
        <v>77</v>
      </c>
      <c r="D73" s="267"/>
      <c r="E73" s="267">
        <f>SUM(E17:E72)</f>
        <v>14615635.999999998</v>
      </c>
      <c r="F73" s="267"/>
      <c r="G73" s="267">
        <f>SUM(G17:G72)</f>
        <v>53438257.801103577</v>
      </c>
      <c r="H73" s="267">
        <f>SUM(H17:H72)</f>
        <v>53438257.801103577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4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 t="str">
        <f>O4</f>
        <v>WFEC DA Adjustment</v>
      </c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IF(J92&lt;D11,0,VLOOKUP(J92,C17:O72,9))-P87</f>
        <v>1456525.2</v>
      </c>
      <c r="N87" s="364">
        <f>IF(J92&lt;D11,0,VLOOKUP(J92,C17:O72,11))-P87</f>
        <v>1456525.2</v>
      </c>
      <c r="O87" s="67">
        <f>+N87-M87</f>
        <v>0</v>
      </c>
      <c r="P87" s="266">
        <f>O5</f>
        <v>15688.800000000001</v>
      </c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IF(J92&lt;D11,0,VLOOKUP(J92,C99:P154,6))-P87</f>
        <v>1653993.4729700577</v>
      </c>
      <c r="N88" s="367">
        <f>IF(J92&lt;D11,0,VLOOKUP(J92,C99:P154,7))-P87</f>
        <v>1653993.4729700577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Cache-Snyder to Altus Jct. 138 kV line (w/2 ring bus stations)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197468.27297005779</v>
      </c>
      <c r="N89" s="369">
        <f>+N88-N87</f>
        <v>197468.27297005779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TP2004147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f>+D10</f>
        <v>14615636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7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395017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97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391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2008</v>
      </c>
      <c r="D99" s="349">
        <v>0</v>
      </c>
      <c r="E99" s="352">
        <v>114341</v>
      </c>
      <c r="F99" s="351">
        <v>14429811</v>
      </c>
      <c r="G99" s="376">
        <v>7214905.5</v>
      </c>
      <c r="H99" s="377">
        <v>1260396</v>
      </c>
      <c r="I99" s="378">
        <v>1260396</v>
      </c>
      <c r="J99" s="54">
        <f t="shared" ref="J99:J131" si="42">+I99-H99</f>
        <v>0</v>
      </c>
      <c r="K99" s="54"/>
      <c r="L99" s="117">
        <v>1260396</v>
      </c>
      <c r="M99" s="53">
        <f t="shared" ref="M99:M130" si="43">IF(L99&lt;&gt;0,+H99-L99,0)</f>
        <v>0</v>
      </c>
      <c r="N99" s="117">
        <f>+L99</f>
        <v>1260396</v>
      </c>
      <c r="O99" s="53">
        <f t="shared" ref="O99:O130" si="44">IF(N99&lt;&gt;0,+I99-N99,0)</f>
        <v>0</v>
      </c>
      <c r="P99" s="53">
        <f t="shared" ref="P99:P130" si="45">+O99-M99</f>
        <v>0</v>
      </c>
    </row>
    <row r="100" spans="1:16" ht="12.5">
      <c r="B100" s="7" t="str">
        <f>IF(D100=F99,"","IU")</f>
        <v>IU</v>
      </c>
      <c r="C100" s="50">
        <f>IF(D93="","-",+C99+1)</f>
        <v>2009</v>
      </c>
      <c r="D100" s="349">
        <v>14569170</v>
      </c>
      <c r="E100" s="352">
        <v>262206</v>
      </c>
      <c r="F100" s="351">
        <v>14306964</v>
      </c>
      <c r="G100" s="351">
        <v>14438067</v>
      </c>
      <c r="H100" s="352">
        <v>2373171</v>
      </c>
      <c r="I100" s="353">
        <v>2373171</v>
      </c>
      <c r="J100" s="54">
        <f t="shared" si="42"/>
        <v>0</v>
      </c>
      <c r="K100" s="54"/>
      <c r="L100" s="324">
        <f t="shared" ref="L100:L105" si="46">H100</f>
        <v>2373171</v>
      </c>
      <c r="M100" s="54">
        <f t="shared" si="43"/>
        <v>0</v>
      </c>
      <c r="N100" s="324">
        <f t="shared" ref="N100:N105" si="47">I100</f>
        <v>2373171</v>
      </c>
      <c r="O100" s="54">
        <f t="shared" si="44"/>
        <v>0</v>
      </c>
      <c r="P100" s="54">
        <f t="shared" si="45"/>
        <v>0</v>
      </c>
    </row>
    <row r="101" spans="1:16" ht="12.5">
      <c r="B101" s="7" t="str">
        <f t="shared" ref="B101:B154" si="48">IF(D101=F100,"","IU")</f>
        <v>IU</v>
      </c>
      <c r="C101" s="50">
        <f>IF(D93="","-",+C100+1)</f>
        <v>2010</v>
      </c>
      <c r="D101" s="349">
        <v>14239089</v>
      </c>
      <c r="E101" s="352">
        <v>286581</v>
      </c>
      <c r="F101" s="351">
        <v>13952508</v>
      </c>
      <c r="G101" s="351">
        <v>14095798.5</v>
      </c>
      <c r="H101" s="352">
        <v>2553400</v>
      </c>
      <c r="I101" s="353">
        <v>2553400</v>
      </c>
      <c r="J101" s="54">
        <f t="shared" si="42"/>
        <v>0</v>
      </c>
      <c r="K101" s="54"/>
      <c r="L101" s="379">
        <f t="shared" si="46"/>
        <v>2553400</v>
      </c>
      <c r="M101" s="380">
        <f t="shared" si="43"/>
        <v>0</v>
      </c>
      <c r="N101" s="379">
        <f t="shared" si="47"/>
        <v>2553400</v>
      </c>
      <c r="O101" s="54">
        <f t="shared" si="44"/>
        <v>0</v>
      </c>
      <c r="P101" s="54">
        <f t="shared" si="45"/>
        <v>0</v>
      </c>
    </row>
    <row r="102" spans="1:16" ht="12.5">
      <c r="B102" s="7" t="str">
        <f t="shared" si="48"/>
        <v/>
      </c>
      <c r="C102" s="50">
        <f>IF(D93="","-",+C101+1)</f>
        <v>2011</v>
      </c>
      <c r="D102" s="349">
        <v>13952508</v>
      </c>
      <c r="E102" s="352">
        <v>281070</v>
      </c>
      <c r="F102" s="351">
        <v>13671438</v>
      </c>
      <c r="G102" s="351">
        <v>13811973</v>
      </c>
      <c r="H102" s="352">
        <v>2212169</v>
      </c>
      <c r="I102" s="353">
        <v>2212169</v>
      </c>
      <c r="J102" s="54">
        <f t="shared" si="42"/>
        <v>0</v>
      </c>
      <c r="K102" s="54"/>
      <c r="L102" s="379">
        <f t="shared" si="46"/>
        <v>2212169</v>
      </c>
      <c r="M102" s="380">
        <f t="shared" si="43"/>
        <v>0</v>
      </c>
      <c r="N102" s="379">
        <f t="shared" si="47"/>
        <v>2212169</v>
      </c>
      <c r="O102" s="54">
        <f t="shared" si="44"/>
        <v>0</v>
      </c>
      <c r="P102" s="54">
        <f t="shared" si="45"/>
        <v>0</v>
      </c>
    </row>
    <row r="103" spans="1:16" ht="12.5">
      <c r="B103" s="7" t="str">
        <f t="shared" si="48"/>
        <v/>
      </c>
      <c r="C103" s="50">
        <f>IF(D93="","-",+C102+1)</f>
        <v>2012</v>
      </c>
      <c r="D103" s="349">
        <v>13671438</v>
      </c>
      <c r="E103" s="352">
        <v>281070</v>
      </c>
      <c r="F103" s="351">
        <v>13390368</v>
      </c>
      <c r="G103" s="351">
        <v>13530903</v>
      </c>
      <c r="H103" s="352">
        <v>2227565</v>
      </c>
      <c r="I103" s="353">
        <v>2227565</v>
      </c>
      <c r="J103" s="54">
        <v>0</v>
      </c>
      <c r="K103" s="54"/>
      <c r="L103" s="379">
        <f t="shared" si="46"/>
        <v>2227565</v>
      </c>
      <c r="M103" s="380">
        <f t="shared" ref="M103:M108" si="49">IF(L103&lt;&gt;0,+H103-L103,0)</f>
        <v>0</v>
      </c>
      <c r="N103" s="379">
        <f t="shared" si="47"/>
        <v>2227565</v>
      </c>
      <c r="O103" s="54">
        <f t="shared" ref="O103:O108" si="50">IF(N103&lt;&gt;0,+I103-N103,0)</f>
        <v>0</v>
      </c>
      <c r="P103" s="54">
        <f t="shared" ref="P103:P108" si="51">+O103-M103</f>
        <v>0</v>
      </c>
    </row>
    <row r="104" spans="1:16" ht="12.5">
      <c r="B104" s="7" t="str">
        <f t="shared" si="48"/>
        <v/>
      </c>
      <c r="C104" s="50">
        <f>IF(D93="","-",+C103+1)</f>
        <v>2013</v>
      </c>
      <c r="D104" s="349">
        <v>13390368</v>
      </c>
      <c r="E104" s="352">
        <v>281070</v>
      </c>
      <c r="F104" s="351">
        <v>13109298</v>
      </c>
      <c r="G104" s="351">
        <v>13249833</v>
      </c>
      <c r="H104" s="352">
        <v>2188246</v>
      </c>
      <c r="I104" s="353">
        <v>2188246</v>
      </c>
      <c r="J104" s="54">
        <v>0</v>
      </c>
      <c r="K104" s="54"/>
      <c r="L104" s="379">
        <f t="shared" si="46"/>
        <v>2188246</v>
      </c>
      <c r="M104" s="380">
        <f t="shared" si="49"/>
        <v>0</v>
      </c>
      <c r="N104" s="379">
        <f t="shared" si="47"/>
        <v>2188246</v>
      </c>
      <c r="O104" s="54">
        <f t="shared" si="50"/>
        <v>0</v>
      </c>
      <c r="P104" s="54">
        <f t="shared" si="51"/>
        <v>0</v>
      </c>
    </row>
    <row r="105" spans="1:16" ht="12.5">
      <c r="B105" s="7" t="str">
        <f t="shared" si="48"/>
        <v/>
      </c>
      <c r="C105" s="50">
        <f>IF(D93="","-",+C104+1)</f>
        <v>2014</v>
      </c>
      <c r="D105" s="349">
        <v>13109298</v>
      </c>
      <c r="E105" s="352">
        <v>281070</v>
      </c>
      <c r="F105" s="351">
        <v>12828228</v>
      </c>
      <c r="G105" s="351">
        <v>12968763</v>
      </c>
      <c r="H105" s="352">
        <v>2104425</v>
      </c>
      <c r="I105" s="353">
        <v>2104425</v>
      </c>
      <c r="J105" s="54">
        <v>0</v>
      </c>
      <c r="K105" s="54"/>
      <c r="L105" s="379">
        <f t="shared" si="46"/>
        <v>2104425</v>
      </c>
      <c r="M105" s="380">
        <f t="shared" si="49"/>
        <v>0</v>
      </c>
      <c r="N105" s="379">
        <f t="shared" si="47"/>
        <v>2104425</v>
      </c>
      <c r="O105" s="54">
        <f t="shared" si="50"/>
        <v>0</v>
      </c>
      <c r="P105" s="54">
        <f t="shared" si="51"/>
        <v>0</v>
      </c>
    </row>
    <row r="106" spans="1:16" ht="12.5">
      <c r="B106" s="7" t="str">
        <f t="shared" si="48"/>
        <v/>
      </c>
      <c r="C106" s="50">
        <f>IF(D93="","-",+C105+1)</f>
        <v>2015</v>
      </c>
      <c r="D106" s="349">
        <v>12828228</v>
      </c>
      <c r="E106" s="352">
        <v>281070</v>
      </c>
      <c r="F106" s="351">
        <v>12547158</v>
      </c>
      <c r="G106" s="351">
        <v>12687693</v>
      </c>
      <c r="H106" s="352">
        <v>2012204</v>
      </c>
      <c r="I106" s="353">
        <v>2012204</v>
      </c>
      <c r="J106" s="54">
        <f t="shared" si="42"/>
        <v>0</v>
      </c>
      <c r="K106" s="54"/>
      <c r="L106" s="379">
        <f t="shared" ref="L106:L111" si="52">H106</f>
        <v>2012204</v>
      </c>
      <c r="M106" s="380">
        <f t="shared" si="49"/>
        <v>0</v>
      </c>
      <c r="N106" s="379">
        <f t="shared" ref="N106:N111" si="53">I106</f>
        <v>2012204</v>
      </c>
      <c r="O106" s="54">
        <f t="shared" si="50"/>
        <v>0</v>
      </c>
      <c r="P106" s="54">
        <f t="shared" si="51"/>
        <v>0</v>
      </c>
    </row>
    <row r="107" spans="1:16" ht="12.5">
      <c r="B107" s="7" t="str">
        <f t="shared" si="48"/>
        <v/>
      </c>
      <c r="C107" s="50">
        <f>IF(D93="","-",+C106+1)</f>
        <v>2016</v>
      </c>
      <c r="D107" s="349">
        <v>12547158</v>
      </c>
      <c r="E107" s="352">
        <v>317731</v>
      </c>
      <c r="F107" s="351">
        <v>12229427</v>
      </c>
      <c r="G107" s="351">
        <v>12388292.5</v>
      </c>
      <c r="H107" s="352">
        <v>1914777</v>
      </c>
      <c r="I107" s="353">
        <v>1914777</v>
      </c>
      <c r="J107" s="54">
        <f t="shared" si="42"/>
        <v>0</v>
      </c>
      <c r="K107" s="54"/>
      <c r="L107" s="379">
        <f t="shared" si="52"/>
        <v>1914777</v>
      </c>
      <c r="M107" s="380">
        <f t="shared" si="49"/>
        <v>0</v>
      </c>
      <c r="N107" s="379">
        <f t="shared" si="53"/>
        <v>1914777</v>
      </c>
      <c r="O107" s="54">
        <f t="shared" si="50"/>
        <v>0</v>
      </c>
      <c r="P107" s="54">
        <f t="shared" si="51"/>
        <v>0</v>
      </c>
    </row>
    <row r="108" spans="1:16" ht="12.5">
      <c r="B108" s="7" t="str">
        <f t="shared" si="48"/>
        <v/>
      </c>
      <c r="C108" s="50">
        <f>IF(D93="","-",+C107+1)</f>
        <v>2017</v>
      </c>
      <c r="D108" s="349">
        <v>12229427</v>
      </c>
      <c r="E108" s="352">
        <v>317731</v>
      </c>
      <c r="F108" s="351">
        <v>11911696</v>
      </c>
      <c r="G108" s="351">
        <v>12070561.5</v>
      </c>
      <c r="H108" s="352">
        <v>1848912</v>
      </c>
      <c r="I108" s="353">
        <v>1848912</v>
      </c>
      <c r="J108" s="54">
        <f t="shared" si="42"/>
        <v>0</v>
      </c>
      <c r="K108" s="54"/>
      <c r="L108" s="379">
        <f t="shared" si="52"/>
        <v>1848912</v>
      </c>
      <c r="M108" s="380">
        <f t="shared" si="49"/>
        <v>0</v>
      </c>
      <c r="N108" s="379">
        <f t="shared" si="53"/>
        <v>1848912</v>
      </c>
      <c r="O108" s="54">
        <f t="shared" si="50"/>
        <v>0</v>
      </c>
      <c r="P108" s="54">
        <f t="shared" si="51"/>
        <v>0</v>
      </c>
    </row>
    <row r="109" spans="1:16" ht="12.5">
      <c r="B109" s="7" t="str">
        <f t="shared" si="48"/>
        <v/>
      </c>
      <c r="C109" s="50">
        <f>IF(D93="","-",+C108+1)</f>
        <v>2018</v>
      </c>
      <c r="D109" s="349">
        <v>11911696</v>
      </c>
      <c r="E109" s="352">
        <v>339899</v>
      </c>
      <c r="F109" s="351">
        <v>11571797</v>
      </c>
      <c r="G109" s="351">
        <v>11741746.5</v>
      </c>
      <c r="H109" s="352">
        <v>1546194</v>
      </c>
      <c r="I109" s="353">
        <v>1546194</v>
      </c>
      <c r="J109" s="54">
        <f t="shared" si="42"/>
        <v>0</v>
      </c>
      <c r="K109" s="54"/>
      <c r="L109" s="379">
        <f t="shared" si="52"/>
        <v>1546194</v>
      </c>
      <c r="M109" s="380">
        <f t="shared" ref="M109" si="54">IF(L109&lt;&gt;0,+H109-L109,0)</f>
        <v>0</v>
      </c>
      <c r="N109" s="379">
        <f t="shared" si="53"/>
        <v>1546194</v>
      </c>
      <c r="O109" s="54">
        <f t="shared" ref="O109" si="55">IF(N109&lt;&gt;0,+I109-N109,0)</f>
        <v>0</v>
      </c>
      <c r="P109" s="54">
        <f t="shared" ref="P109" si="56">+O109-M109</f>
        <v>0</v>
      </c>
    </row>
    <row r="110" spans="1:16" ht="12.5">
      <c r="B110" s="7" t="str">
        <f t="shared" si="48"/>
        <v/>
      </c>
      <c r="C110" s="50">
        <f>IF(D93="","-",+C109+1)</f>
        <v>2019</v>
      </c>
      <c r="D110" s="349">
        <v>11571797</v>
      </c>
      <c r="E110" s="352">
        <v>356479</v>
      </c>
      <c r="F110" s="351">
        <v>11215318</v>
      </c>
      <c r="G110" s="351">
        <v>11393557.5</v>
      </c>
      <c r="H110" s="352">
        <v>1531315</v>
      </c>
      <c r="I110" s="353">
        <v>1531315</v>
      </c>
      <c r="J110" s="54">
        <f t="shared" si="42"/>
        <v>0</v>
      </c>
      <c r="K110" s="54"/>
      <c r="L110" s="379">
        <f t="shared" si="52"/>
        <v>1531315</v>
      </c>
      <c r="M110" s="380">
        <f t="shared" ref="M110:M111" si="57">IF(L110&lt;&gt;0,+H110-L110,0)</f>
        <v>0</v>
      </c>
      <c r="N110" s="379">
        <f t="shared" si="53"/>
        <v>1531315</v>
      </c>
      <c r="O110" s="54">
        <f t="shared" si="44"/>
        <v>0</v>
      </c>
      <c r="P110" s="54">
        <f t="shared" si="45"/>
        <v>0</v>
      </c>
    </row>
    <row r="111" spans="1:16" ht="12.5">
      <c r="B111" s="7" t="str">
        <f t="shared" si="48"/>
        <v/>
      </c>
      <c r="C111" s="50">
        <f>IF(D93="","-",+C110+1)</f>
        <v>2020</v>
      </c>
      <c r="D111" s="349">
        <v>11215318</v>
      </c>
      <c r="E111" s="352">
        <v>339899</v>
      </c>
      <c r="F111" s="351">
        <v>10875419</v>
      </c>
      <c r="G111" s="351">
        <v>11045368.5</v>
      </c>
      <c r="H111" s="352">
        <v>1613399.6213131989</v>
      </c>
      <c r="I111" s="353">
        <v>1613399.6213131989</v>
      </c>
      <c r="J111" s="54">
        <f t="shared" si="42"/>
        <v>0</v>
      </c>
      <c r="K111" s="54"/>
      <c r="L111" s="379">
        <f t="shared" si="52"/>
        <v>1613399.6213131989</v>
      </c>
      <c r="M111" s="380">
        <f t="shared" si="57"/>
        <v>0</v>
      </c>
      <c r="N111" s="379">
        <f t="shared" si="53"/>
        <v>1613399.6213131989</v>
      </c>
      <c r="O111" s="54">
        <f t="shared" si="44"/>
        <v>0</v>
      </c>
      <c r="P111" s="54">
        <f t="shared" si="45"/>
        <v>0</v>
      </c>
    </row>
    <row r="112" spans="1:16" ht="12.5">
      <c r="B112" s="7" t="str">
        <f t="shared" si="48"/>
        <v/>
      </c>
      <c r="C112" s="50">
        <f>IF(D93="","-",+C111+1)</f>
        <v>2021</v>
      </c>
      <c r="D112" s="349">
        <v>10875419</v>
      </c>
      <c r="E112" s="352">
        <v>356479</v>
      </c>
      <c r="F112" s="351">
        <v>10518940</v>
      </c>
      <c r="G112" s="351">
        <v>10697179.5</v>
      </c>
      <c r="H112" s="352">
        <v>1573740.9328639174</v>
      </c>
      <c r="I112" s="353">
        <v>1573740.9328639174</v>
      </c>
      <c r="J112" s="54">
        <f t="shared" si="42"/>
        <v>0</v>
      </c>
      <c r="K112" s="54"/>
      <c r="L112" s="379">
        <f t="shared" ref="L112" si="58">H112</f>
        <v>1573740.9328639174</v>
      </c>
      <c r="M112" s="380">
        <f t="shared" ref="M112" si="59">IF(L112&lt;&gt;0,+H112-L112,0)</f>
        <v>0</v>
      </c>
      <c r="N112" s="379">
        <f t="shared" ref="N112" si="60">I112</f>
        <v>1573740.9328639174</v>
      </c>
      <c r="O112" s="54">
        <f t="shared" ref="O112" si="61">IF(N112&lt;&gt;0,+I112-N112,0)</f>
        <v>0</v>
      </c>
      <c r="P112" s="54">
        <f t="shared" ref="P112" si="62">+O112-M112</f>
        <v>0</v>
      </c>
    </row>
    <row r="113" spans="2:16" ht="12.5">
      <c r="B113" s="7" t="str">
        <f t="shared" si="48"/>
        <v/>
      </c>
      <c r="C113" s="450">
        <f>IF(D93="","-",+C112+1)</f>
        <v>2022</v>
      </c>
      <c r="D113" s="349">
        <v>10518940</v>
      </c>
      <c r="E113" s="352">
        <v>374760</v>
      </c>
      <c r="F113" s="351">
        <v>10144180</v>
      </c>
      <c r="G113" s="351">
        <v>10331560</v>
      </c>
      <c r="H113" s="352">
        <v>1513118.6891439483</v>
      </c>
      <c r="I113" s="353">
        <v>1513118.6891439483</v>
      </c>
      <c r="J113" s="54">
        <f t="shared" si="42"/>
        <v>0</v>
      </c>
      <c r="K113" s="54"/>
      <c r="L113" s="379">
        <f t="shared" ref="L113:L114" si="63">H113</f>
        <v>1513118.6891439483</v>
      </c>
      <c r="M113" s="380">
        <f t="shared" ref="M113:M114" si="64">IF(L113&lt;&gt;0,+H113-L113,0)</f>
        <v>0</v>
      </c>
      <c r="N113" s="379">
        <f t="shared" ref="N113:N114" si="65">I113</f>
        <v>1513118.6891439483</v>
      </c>
      <c r="O113" s="54">
        <f t="shared" ref="O113:O114" si="66">IF(N113&lt;&gt;0,+I113-N113,0)</f>
        <v>0</v>
      </c>
      <c r="P113" s="54">
        <f t="shared" ref="P113:P114" si="67">+O113-M113</f>
        <v>0</v>
      </c>
    </row>
    <row r="114" spans="2:16" ht="12.5">
      <c r="B114" s="7" t="str">
        <f t="shared" si="48"/>
        <v/>
      </c>
      <c r="C114" s="50">
        <f>IF(D93="","-",+C113+1)</f>
        <v>2023</v>
      </c>
      <c r="D114" s="349">
        <v>10144180</v>
      </c>
      <c r="E114" s="352">
        <v>384622</v>
      </c>
      <c r="F114" s="351">
        <v>9759558</v>
      </c>
      <c r="G114" s="351">
        <v>9951869</v>
      </c>
      <c r="H114" s="352">
        <v>1521395</v>
      </c>
      <c r="I114" s="353">
        <v>1521395</v>
      </c>
      <c r="J114" s="54">
        <v>0</v>
      </c>
      <c r="K114" s="54"/>
      <c r="L114" s="379">
        <f t="shared" si="63"/>
        <v>1521395</v>
      </c>
      <c r="M114" s="380">
        <f t="shared" si="64"/>
        <v>0</v>
      </c>
      <c r="N114" s="379">
        <f t="shared" si="65"/>
        <v>1521395</v>
      </c>
      <c r="O114" s="54">
        <f t="shared" si="66"/>
        <v>0</v>
      </c>
      <c r="P114" s="54">
        <f t="shared" si="67"/>
        <v>0</v>
      </c>
    </row>
    <row r="115" spans="2:16" ht="12.5">
      <c r="B115" s="7" t="str">
        <f t="shared" si="48"/>
        <v/>
      </c>
      <c r="C115" s="50">
        <f>IF(D93="","-",+C114+1)</f>
        <v>2024</v>
      </c>
      <c r="D115" s="12">
        <v>9759558</v>
      </c>
      <c r="E115" s="355">
        <v>384622</v>
      </c>
      <c r="F115" s="55">
        <v>9374936</v>
      </c>
      <c r="G115" s="55">
        <v>9567247</v>
      </c>
      <c r="H115" s="356">
        <v>1669682.2729700578</v>
      </c>
      <c r="I115" s="381">
        <v>1669682.2729700578</v>
      </c>
      <c r="J115" s="54">
        <f t="shared" si="42"/>
        <v>0</v>
      </c>
      <c r="K115" s="54"/>
      <c r="L115" s="379">
        <f t="shared" ref="L115" si="68">H115</f>
        <v>1669682.2729700578</v>
      </c>
      <c r="M115" s="380">
        <f t="shared" ref="M115" si="69">IF(L115&lt;&gt;0,+H115-L115,0)</f>
        <v>0</v>
      </c>
      <c r="N115" s="379">
        <f t="shared" ref="N115" si="70">I115</f>
        <v>1669682.2729700578</v>
      </c>
      <c r="O115" s="54">
        <f t="shared" ref="O115" si="71">IF(N115&lt;&gt;0,+I115-N115,0)</f>
        <v>0</v>
      </c>
      <c r="P115" s="54">
        <f t="shared" ref="P115" si="72">+O115-M115</f>
        <v>0</v>
      </c>
    </row>
    <row r="116" spans="2:16" ht="12.5">
      <c r="B116" s="7" t="str">
        <f t="shared" si="48"/>
        <v/>
      </c>
      <c r="C116" s="50">
        <f>IF(D93="","-",+C115+1)</f>
        <v>2025</v>
      </c>
      <c r="D116" s="12">
        <f>IF(F115+SUM(E$99:E115)=D$92,F115,D$92-SUM(E$99:E115))</f>
        <v>9374936</v>
      </c>
      <c r="E116" s="355">
        <f>IF(+J96&lt;F115,J96,D116)</f>
        <v>395017</v>
      </c>
      <c r="F116" s="55">
        <f t="shared" ref="F116:F130" si="73">+D116-E116</f>
        <v>8979919</v>
      </c>
      <c r="G116" s="55">
        <f t="shared" ref="G116:G130" si="74">+(F116+D116)/2</f>
        <v>9177427.5</v>
      </c>
      <c r="H116" s="356">
        <f t="shared" ref="H116:H154" si="75">ROUND(J$94*G116,0)+E116</f>
        <v>1627717</v>
      </c>
      <c r="I116" s="381">
        <f t="shared" ref="I116:I154" si="76">ROUND(J$95*G116,0)+E116</f>
        <v>1627717</v>
      </c>
      <c r="J116" s="54">
        <f t="shared" si="42"/>
        <v>0</v>
      </c>
      <c r="K116" s="54"/>
      <c r="L116" s="115"/>
      <c r="M116" s="54">
        <f t="shared" si="43"/>
        <v>0</v>
      </c>
      <c r="N116" s="115"/>
      <c r="O116" s="54">
        <f t="shared" si="44"/>
        <v>0</v>
      </c>
      <c r="P116" s="54">
        <f t="shared" si="45"/>
        <v>0</v>
      </c>
    </row>
    <row r="117" spans="2:16" ht="12.5">
      <c r="B117" s="7" t="str">
        <f t="shared" si="48"/>
        <v/>
      </c>
      <c r="C117" s="50">
        <f>IF(D93="","-",+C116+1)</f>
        <v>2026</v>
      </c>
      <c r="D117" s="12">
        <f>IF(F116+SUM(E$99:E116)=D$92,F116,D$92-SUM(E$99:E116))</f>
        <v>8979919</v>
      </c>
      <c r="E117" s="355">
        <f>IF(+J96&lt;F116,J96,D117)</f>
        <v>395017</v>
      </c>
      <c r="F117" s="55">
        <f t="shared" si="73"/>
        <v>8584902</v>
      </c>
      <c r="G117" s="55">
        <f t="shared" si="74"/>
        <v>8782410.5</v>
      </c>
      <c r="H117" s="356">
        <f t="shared" si="75"/>
        <v>1574659</v>
      </c>
      <c r="I117" s="381">
        <f t="shared" si="76"/>
        <v>1574659</v>
      </c>
      <c r="J117" s="54">
        <f t="shared" si="42"/>
        <v>0</v>
      </c>
      <c r="K117" s="54"/>
      <c r="L117" s="115"/>
      <c r="M117" s="54">
        <f t="shared" si="43"/>
        <v>0</v>
      </c>
      <c r="N117" s="115"/>
      <c r="O117" s="54">
        <f t="shared" si="44"/>
        <v>0</v>
      </c>
      <c r="P117" s="54">
        <f t="shared" si="45"/>
        <v>0</v>
      </c>
    </row>
    <row r="118" spans="2:16" ht="12.5">
      <c r="B118" s="7" t="str">
        <f t="shared" si="48"/>
        <v/>
      </c>
      <c r="C118" s="50">
        <f>IF(D93="","-",+C117+1)</f>
        <v>2027</v>
      </c>
      <c r="D118" s="12">
        <f>IF(F117+SUM(E$99:E117)=D$92,F117,D$92-SUM(E$99:E117))</f>
        <v>8584902</v>
      </c>
      <c r="E118" s="355">
        <f>IF(+J96&lt;F117,J96,D118)</f>
        <v>395017</v>
      </c>
      <c r="F118" s="55">
        <f t="shared" si="73"/>
        <v>8189885</v>
      </c>
      <c r="G118" s="55">
        <f t="shared" si="74"/>
        <v>8387393.5</v>
      </c>
      <c r="H118" s="356">
        <f t="shared" si="75"/>
        <v>1521601</v>
      </c>
      <c r="I118" s="381">
        <f t="shared" si="76"/>
        <v>1521601</v>
      </c>
      <c r="J118" s="54">
        <f t="shared" si="42"/>
        <v>0</v>
      </c>
      <c r="K118" s="54"/>
      <c r="L118" s="115"/>
      <c r="M118" s="54">
        <f t="shared" si="43"/>
        <v>0</v>
      </c>
      <c r="N118" s="115"/>
      <c r="O118" s="54">
        <f t="shared" si="44"/>
        <v>0</v>
      </c>
      <c r="P118" s="54">
        <f t="shared" si="45"/>
        <v>0</v>
      </c>
    </row>
    <row r="119" spans="2:16" ht="12.5">
      <c r="B119" s="7" t="str">
        <f t="shared" si="48"/>
        <v/>
      </c>
      <c r="C119" s="50">
        <f>IF(D93="","-",+C118+1)</f>
        <v>2028</v>
      </c>
      <c r="D119" s="12">
        <f>IF(F118+SUM(E$99:E118)=D$92,F118,D$92-SUM(E$99:E118))</f>
        <v>8189885</v>
      </c>
      <c r="E119" s="355">
        <f>IF(+J96&lt;F118,J96,D119)</f>
        <v>395017</v>
      </c>
      <c r="F119" s="55">
        <f t="shared" si="73"/>
        <v>7794868</v>
      </c>
      <c r="G119" s="55">
        <f t="shared" si="74"/>
        <v>7992376.5</v>
      </c>
      <c r="H119" s="356">
        <f t="shared" si="75"/>
        <v>1468543</v>
      </c>
      <c r="I119" s="381">
        <f t="shared" si="76"/>
        <v>1468543</v>
      </c>
      <c r="J119" s="54">
        <f t="shared" si="42"/>
        <v>0</v>
      </c>
      <c r="K119" s="54"/>
      <c r="L119" s="115"/>
      <c r="M119" s="54">
        <f t="shared" si="43"/>
        <v>0</v>
      </c>
      <c r="N119" s="115"/>
      <c r="O119" s="54">
        <f t="shared" si="44"/>
        <v>0</v>
      </c>
      <c r="P119" s="54">
        <f t="shared" si="45"/>
        <v>0</v>
      </c>
    </row>
    <row r="120" spans="2:16" ht="12.5">
      <c r="B120" s="7" t="str">
        <f t="shared" si="48"/>
        <v/>
      </c>
      <c r="C120" s="50">
        <f>IF(D93="","-",+C119+1)</f>
        <v>2029</v>
      </c>
      <c r="D120" s="12">
        <f>IF(F119+SUM(E$99:E119)=D$92,F119,D$92-SUM(E$99:E119))</f>
        <v>7794868</v>
      </c>
      <c r="E120" s="355">
        <f>IF(+J96&lt;F119,J96,D120)</f>
        <v>395017</v>
      </c>
      <c r="F120" s="55">
        <f t="shared" si="73"/>
        <v>7399851</v>
      </c>
      <c r="G120" s="55">
        <f t="shared" si="74"/>
        <v>7597359.5</v>
      </c>
      <c r="H120" s="356">
        <f t="shared" si="75"/>
        <v>1415485</v>
      </c>
      <c r="I120" s="381">
        <f t="shared" si="76"/>
        <v>1415485</v>
      </c>
      <c r="J120" s="54">
        <f t="shared" si="42"/>
        <v>0</v>
      </c>
      <c r="K120" s="54"/>
      <c r="L120" s="115"/>
      <c r="M120" s="54">
        <f t="shared" si="43"/>
        <v>0</v>
      </c>
      <c r="N120" s="115"/>
      <c r="O120" s="54">
        <f t="shared" si="44"/>
        <v>0</v>
      </c>
      <c r="P120" s="54">
        <f t="shared" si="45"/>
        <v>0</v>
      </c>
    </row>
    <row r="121" spans="2:16" ht="12.5">
      <c r="B121" s="7" t="str">
        <f t="shared" si="48"/>
        <v/>
      </c>
      <c r="C121" s="50">
        <f>IF(D93="","-",+C120+1)</f>
        <v>2030</v>
      </c>
      <c r="D121" s="12">
        <f>IF(F120+SUM(E$99:E120)=D$92,F120,D$92-SUM(E$99:E120))</f>
        <v>7399851</v>
      </c>
      <c r="E121" s="355">
        <f>IF(+J96&lt;F120,J96,D121)</f>
        <v>395017</v>
      </c>
      <c r="F121" s="55">
        <f t="shared" si="73"/>
        <v>7004834</v>
      </c>
      <c r="G121" s="55">
        <f t="shared" si="74"/>
        <v>7202342.5</v>
      </c>
      <c r="H121" s="356">
        <f t="shared" si="75"/>
        <v>1362426</v>
      </c>
      <c r="I121" s="381">
        <f t="shared" si="76"/>
        <v>1362426</v>
      </c>
      <c r="J121" s="54">
        <f t="shared" si="42"/>
        <v>0</v>
      </c>
      <c r="K121" s="54"/>
      <c r="L121" s="115"/>
      <c r="M121" s="54">
        <f t="shared" si="43"/>
        <v>0</v>
      </c>
      <c r="N121" s="115"/>
      <c r="O121" s="54">
        <f t="shared" si="44"/>
        <v>0</v>
      </c>
      <c r="P121" s="54">
        <f t="shared" si="45"/>
        <v>0</v>
      </c>
    </row>
    <row r="122" spans="2:16" ht="12.5">
      <c r="B122" s="7" t="str">
        <f t="shared" si="48"/>
        <v/>
      </c>
      <c r="C122" s="50">
        <f>IF(D93="","-",+C121+1)</f>
        <v>2031</v>
      </c>
      <c r="D122" s="12">
        <f>IF(F121+SUM(E$99:E121)=D$92,F121,D$92-SUM(E$99:E121))</f>
        <v>7004834</v>
      </c>
      <c r="E122" s="355">
        <f>IF(+J96&lt;F121,J96,D122)</f>
        <v>395017</v>
      </c>
      <c r="F122" s="55">
        <f t="shared" si="73"/>
        <v>6609817</v>
      </c>
      <c r="G122" s="55">
        <f t="shared" si="74"/>
        <v>6807325.5</v>
      </c>
      <c r="H122" s="356">
        <f t="shared" si="75"/>
        <v>1309368</v>
      </c>
      <c r="I122" s="381">
        <f t="shared" si="76"/>
        <v>1309368</v>
      </c>
      <c r="J122" s="54">
        <f t="shared" si="42"/>
        <v>0</v>
      </c>
      <c r="K122" s="54"/>
      <c r="L122" s="115"/>
      <c r="M122" s="54">
        <f t="shared" si="43"/>
        <v>0</v>
      </c>
      <c r="N122" s="115"/>
      <c r="O122" s="54">
        <f t="shared" si="44"/>
        <v>0</v>
      </c>
      <c r="P122" s="54">
        <f t="shared" si="45"/>
        <v>0</v>
      </c>
    </row>
    <row r="123" spans="2:16" ht="12.5">
      <c r="B123" s="7" t="str">
        <f t="shared" si="48"/>
        <v/>
      </c>
      <c r="C123" s="50">
        <f>IF(D93="","-",+C122+1)</f>
        <v>2032</v>
      </c>
      <c r="D123" s="12">
        <f>IF(F122+SUM(E$99:E122)=D$92,F122,D$92-SUM(E$99:E122))</f>
        <v>6609817</v>
      </c>
      <c r="E123" s="355">
        <f>IF(+J96&lt;F122,J96,D123)</f>
        <v>395017</v>
      </c>
      <c r="F123" s="55">
        <f t="shared" si="73"/>
        <v>6214800</v>
      </c>
      <c r="G123" s="55">
        <f t="shared" si="74"/>
        <v>6412308.5</v>
      </c>
      <c r="H123" s="356">
        <f t="shared" si="75"/>
        <v>1256310</v>
      </c>
      <c r="I123" s="381">
        <f t="shared" si="76"/>
        <v>1256310</v>
      </c>
      <c r="J123" s="54">
        <f t="shared" si="42"/>
        <v>0</v>
      </c>
      <c r="K123" s="54"/>
      <c r="L123" s="115"/>
      <c r="M123" s="54">
        <f t="shared" si="43"/>
        <v>0</v>
      </c>
      <c r="N123" s="115"/>
      <c r="O123" s="54">
        <f t="shared" si="44"/>
        <v>0</v>
      </c>
      <c r="P123" s="54">
        <f t="shared" si="45"/>
        <v>0</v>
      </c>
    </row>
    <row r="124" spans="2:16" ht="12.5">
      <c r="B124" s="7" t="str">
        <f t="shared" si="48"/>
        <v/>
      </c>
      <c r="C124" s="50">
        <f>IF(D93="","-",+C123+1)</f>
        <v>2033</v>
      </c>
      <c r="D124" s="12">
        <f>IF(F123+SUM(E$99:E123)=D$92,F123,D$92-SUM(E$99:E123))</f>
        <v>6214800</v>
      </c>
      <c r="E124" s="355">
        <f>IF(+J96&lt;F123,J96,D124)</f>
        <v>395017</v>
      </c>
      <c r="F124" s="55">
        <f t="shared" si="73"/>
        <v>5819783</v>
      </c>
      <c r="G124" s="55">
        <f t="shared" si="74"/>
        <v>6017291.5</v>
      </c>
      <c r="H124" s="356">
        <f t="shared" si="75"/>
        <v>1203252</v>
      </c>
      <c r="I124" s="381">
        <f t="shared" si="76"/>
        <v>1203252</v>
      </c>
      <c r="J124" s="54">
        <f t="shared" si="42"/>
        <v>0</v>
      </c>
      <c r="K124" s="54"/>
      <c r="L124" s="115"/>
      <c r="M124" s="54">
        <f t="shared" si="43"/>
        <v>0</v>
      </c>
      <c r="N124" s="115"/>
      <c r="O124" s="54">
        <f t="shared" si="44"/>
        <v>0</v>
      </c>
      <c r="P124" s="54">
        <f t="shared" si="45"/>
        <v>0</v>
      </c>
    </row>
    <row r="125" spans="2:16" ht="12.5">
      <c r="B125" s="7" t="str">
        <f t="shared" si="48"/>
        <v/>
      </c>
      <c r="C125" s="50">
        <f>IF(D93="","-",+C124+1)</f>
        <v>2034</v>
      </c>
      <c r="D125" s="12">
        <f>IF(F124+SUM(E$99:E124)=D$92,F124,D$92-SUM(E$99:E124))</f>
        <v>5819783</v>
      </c>
      <c r="E125" s="355">
        <f>IF(+J96&lt;F124,J96,D125)</f>
        <v>395017</v>
      </c>
      <c r="F125" s="55">
        <f t="shared" si="73"/>
        <v>5424766</v>
      </c>
      <c r="G125" s="55">
        <f t="shared" si="74"/>
        <v>5622274.5</v>
      </c>
      <c r="H125" s="356">
        <f t="shared" si="75"/>
        <v>1150194</v>
      </c>
      <c r="I125" s="381">
        <f t="shared" si="76"/>
        <v>1150194</v>
      </c>
      <c r="J125" s="54">
        <f t="shared" si="42"/>
        <v>0</v>
      </c>
      <c r="K125" s="54"/>
      <c r="L125" s="115"/>
      <c r="M125" s="54">
        <f t="shared" si="43"/>
        <v>0</v>
      </c>
      <c r="N125" s="115"/>
      <c r="O125" s="54">
        <f t="shared" si="44"/>
        <v>0</v>
      </c>
      <c r="P125" s="54">
        <f t="shared" si="45"/>
        <v>0</v>
      </c>
    </row>
    <row r="126" spans="2:16" ht="12.5">
      <c r="B126" s="7" t="str">
        <f t="shared" si="48"/>
        <v/>
      </c>
      <c r="C126" s="50">
        <f>IF(D93="","-",+C125+1)</f>
        <v>2035</v>
      </c>
      <c r="D126" s="12">
        <f>IF(F125+SUM(E$99:E125)=D$92,F125,D$92-SUM(E$99:E125))</f>
        <v>5424766</v>
      </c>
      <c r="E126" s="355">
        <f>IF(+J96&lt;F125,J96,D126)</f>
        <v>395017</v>
      </c>
      <c r="F126" s="55">
        <f t="shared" si="73"/>
        <v>5029749</v>
      </c>
      <c r="G126" s="55">
        <f t="shared" si="74"/>
        <v>5227257.5</v>
      </c>
      <c r="H126" s="356">
        <f t="shared" si="75"/>
        <v>1097135</v>
      </c>
      <c r="I126" s="381">
        <f t="shared" si="76"/>
        <v>1097135</v>
      </c>
      <c r="J126" s="54">
        <f t="shared" si="42"/>
        <v>0</v>
      </c>
      <c r="K126" s="54"/>
      <c r="L126" s="115"/>
      <c r="M126" s="54">
        <f t="shared" si="43"/>
        <v>0</v>
      </c>
      <c r="N126" s="115"/>
      <c r="O126" s="54">
        <f t="shared" si="44"/>
        <v>0</v>
      </c>
      <c r="P126" s="54">
        <f t="shared" si="45"/>
        <v>0</v>
      </c>
    </row>
    <row r="127" spans="2:16" ht="12.5">
      <c r="B127" s="7" t="str">
        <f t="shared" si="48"/>
        <v/>
      </c>
      <c r="C127" s="50">
        <f>IF(D93="","-",+C126+1)</f>
        <v>2036</v>
      </c>
      <c r="D127" s="12">
        <f>IF(F126+SUM(E$99:E126)=D$92,F126,D$92-SUM(E$99:E126))</f>
        <v>5029749</v>
      </c>
      <c r="E127" s="355">
        <f>IF(+J96&lt;F126,J96,D127)</f>
        <v>395017</v>
      </c>
      <c r="F127" s="55">
        <f t="shared" si="73"/>
        <v>4634732</v>
      </c>
      <c r="G127" s="55">
        <f t="shared" si="74"/>
        <v>4832240.5</v>
      </c>
      <c r="H127" s="356">
        <f t="shared" si="75"/>
        <v>1044077</v>
      </c>
      <c r="I127" s="381">
        <f t="shared" si="76"/>
        <v>1044077</v>
      </c>
      <c r="J127" s="54">
        <f t="shared" si="42"/>
        <v>0</v>
      </c>
      <c r="K127" s="54"/>
      <c r="L127" s="115"/>
      <c r="M127" s="54">
        <f t="shared" si="43"/>
        <v>0</v>
      </c>
      <c r="N127" s="115"/>
      <c r="O127" s="54">
        <f t="shared" si="44"/>
        <v>0</v>
      </c>
      <c r="P127" s="54">
        <f t="shared" si="45"/>
        <v>0</v>
      </c>
    </row>
    <row r="128" spans="2:16" ht="12.5">
      <c r="B128" s="7" t="str">
        <f t="shared" si="48"/>
        <v/>
      </c>
      <c r="C128" s="50">
        <f>IF(D93="","-",+C127+1)</f>
        <v>2037</v>
      </c>
      <c r="D128" s="12">
        <f>IF(F127+SUM(E$99:E127)=D$92,F127,D$92-SUM(E$99:E127))</f>
        <v>4634732</v>
      </c>
      <c r="E128" s="355">
        <f>IF(+J96&lt;F127,J96,D128)</f>
        <v>395017</v>
      </c>
      <c r="F128" s="55">
        <f t="shared" si="73"/>
        <v>4239715</v>
      </c>
      <c r="G128" s="55">
        <f t="shared" si="74"/>
        <v>4437223.5</v>
      </c>
      <c r="H128" s="356">
        <f t="shared" si="75"/>
        <v>991019</v>
      </c>
      <c r="I128" s="381">
        <f t="shared" si="76"/>
        <v>991019</v>
      </c>
      <c r="J128" s="54">
        <f t="shared" si="42"/>
        <v>0</v>
      </c>
      <c r="K128" s="54"/>
      <c r="L128" s="115"/>
      <c r="M128" s="54">
        <f t="shared" si="43"/>
        <v>0</v>
      </c>
      <c r="N128" s="115"/>
      <c r="O128" s="54">
        <f t="shared" si="44"/>
        <v>0</v>
      </c>
      <c r="P128" s="54">
        <f t="shared" si="45"/>
        <v>0</v>
      </c>
    </row>
    <row r="129" spans="2:16" ht="12.5">
      <c r="B129" s="7" t="str">
        <f t="shared" si="48"/>
        <v/>
      </c>
      <c r="C129" s="50">
        <f>IF(D93="","-",+C128+1)</f>
        <v>2038</v>
      </c>
      <c r="D129" s="12">
        <f>IF(F128+SUM(E$99:E128)=D$92,F128,D$92-SUM(E$99:E128))</f>
        <v>4239715</v>
      </c>
      <c r="E129" s="355">
        <f>IF(+J96&lt;F128,J96,D129)</f>
        <v>395017</v>
      </c>
      <c r="F129" s="55">
        <f t="shared" si="73"/>
        <v>3844698</v>
      </c>
      <c r="G129" s="55">
        <f t="shared" si="74"/>
        <v>4042206.5</v>
      </c>
      <c r="H129" s="356">
        <f t="shared" si="75"/>
        <v>937961</v>
      </c>
      <c r="I129" s="381">
        <f t="shared" si="76"/>
        <v>937961</v>
      </c>
      <c r="J129" s="54">
        <f t="shared" si="42"/>
        <v>0</v>
      </c>
      <c r="K129" s="54"/>
      <c r="L129" s="115"/>
      <c r="M129" s="54">
        <f t="shared" si="43"/>
        <v>0</v>
      </c>
      <c r="N129" s="115"/>
      <c r="O129" s="54">
        <f t="shared" si="44"/>
        <v>0</v>
      </c>
      <c r="P129" s="54">
        <f t="shared" si="45"/>
        <v>0</v>
      </c>
    </row>
    <row r="130" spans="2:16" ht="12.5">
      <c r="B130" s="7" t="str">
        <f t="shared" si="48"/>
        <v/>
      </c>
      <c r="C130" s="50">
        <f>IF(D93="","-",+C129+1)</f>
        <v>2039</v>
      </c>
      <c r="D130" s="12">
        <f>IF(F129+SUM(E$99:E129)=D$92,F129,D$92-SUM(E$99:E129))</f>
        <v>3844698</v>
      </c>
      <c r="E130" s="355">
        <f>IF(+J96&lt;F129,J96,D130)</f>
        <v>395017</v>
      </c>
      <c r="F130" s="55">
        <f t="shared" si="73"/>
        <v>3449681</v>
      </c>
      <c r="G130" s="55">
        <f t="shared" si="74"/>
        <v>3647189.5</v>
      </c>
      <c r="H130" s="356">
        <f t="shared" si="75"/>
        <v>884903</v>
      </c>
      <c r="I130" s="381">
        <f t="shared" si="76"/>
        <v>884903</v>
      </c>
      <c r="J130" s="54">
        <f t="shared" si="42"/>
        <v>0</v>
      </c>
      <c r="K130" s="54"/>
      <c r="L130" s="115"/>
      <c r="M130" s="54">
        <f t="shared" si="43"/>
        <v>0</v>
      </c>
      <c r="N130" s="115"/>
      <c r="O130" s="54">
        <f t="shared" si="44"/>
        <v>0</v>
      </c>
      <c r="P130" s="54">
        <f t="shared" si="45"/>
        <v>0</v>
      </c>
    </row>
    <row r="131" spans="2:16" ht="12.5">
      <c r="B131" s="7" t="str">
        <f t="shared" si="48"/>
        <v/>
      </c>
      <c r="C131" s="50">
        <f>IF(D93="","-",+C130+1)</f>
        <v>2040</v>
      </c>
      <c r="D131" s="12">
        <f>IF(F130+SUM(E$99:E130)=D$92,F130,D$92-SUM(E$99:E130))</f>
        <v>3449681</v>
      </c>
      <c r="E131" s="355">
        <f>IF(+J96&lt;F130,J96,D131)</f>
        <v>395017</v>
      </c>
      <c r="F131" s="55">
        <f t="shared" ref="F131:F154" si="77">+D131-E131</f>
        <v>3054664</v>
      </c>
      <c r="G131" s="55">
        <f t="shared" ref="G131:G154" si="78">+(F131+D131)/2</f>
        <v>3252172.5</v>
      </c>
      <c r="H131" s="356">
        <f t="shared" si="75"/>
        <v>831845</v>
      </c>
      <c r="I131" s="381">
        <f t="shared" si="76"/>
        <v>831845</v>
      </c>
      <c r="J131" s="54">
        <f t="shared" si="42"/>
        <v>0</v>
      </c>
      <c r="K131" s="54"/>
      <c r="L131" s="115"/>
      <c r="M131" s="54">
        <f t="shared" ref="M131:M154" si="79">IF(L131&lt;&gt;0,+H131-L131,0)</f>
        <v>0</v>
      </c>
      <c r="N131" s="115"/>
      <c r="O131" s="54">
        <f t="shared" ref="O131:O154" si="80">IF(N131&lt;&gt;0,+I131-N131,0)</f>
        <v>0</v>
      </c>
      <c r="P131" s="54">
        <f t="shared" ref="P131:P154" si="81">+O131-M131</f>
        <v>0</v>
      </c>
    </row>
    <row r="132" spans="2:16" ht="12.5">
      <c r="B132" s="7" t="str">
        <f t="shared" si="48"/>
        <v/>
      </c>
      <c r="C132" s="50">
        <f>IF(D93="","-",+C131+1)</f>
        <v>2041</v>
      </c>
      <c r="D132" s="12">
        <f>IF(F131+SUM(E$99:E131)=D$92,F131,D$92-SUM(E$99:E131))</f>
        <v>3054664</v>
      </c>
      <c r="E132" s="355">
        <f>IF(+J96&lt;F131,J96,D132)</f>
        <v>395017</v>
      </c>
      <c r="F132" s="55">
        <f t="shared" si="77"/>
        <v>2659647</v>
      </c>
      <c r="G132" s="55">
        <f t="shared" si="78"/>
        <v>2857155.5</v>
      </c>
      <c r="H132" s="356">
        <f t="shared" si="75"/>
        <v>778786</v>
      </c>
      <c r="I132" s="381">
        <f t="shared" si="76"/>
        <v>778786</v>
      </c>
      <c r="J132" s="54">
        <f t="shared" ref="J132:J154" si="82">+I132-H132</f>
        <v>0</v>
      </c>
      <c r="K132" s="54"/>
      <c r="L132" s="115"/>
      <c r="M132" s="54">
        <f t="shared" si="79"/>
        <v>0</v>
      </c>
      <c r="N132" s="115"/>
      <c r="O132" s="54">
        <f t="shared" si="80"/>
        <v>0</v>
      </c>
      <c r="P132" s="54">
        <f t="shared" si="81"/>
        <v>0</v>
      </c>
    </row>
    <row r="133" spans="2:16" ht="12.5">
      <c r="B133" s="7" t="str">
        <f t="shared" si="48"/>
        <v/>
      </c>
      <c r="C133" s="50">
        <f>IF(D93="","-",+C132+1)</f>
        <v>2042</v>
      </c>
      <c r="D133" s="12">
        <f>IF(F132+SUM(E$99:E132)=D$92,F132,D$92-SUM(E$99:E132))</f>
        <v>2659647</v>
      </c>
      <c r="E133" s="355">
        <f>IF(+J96&lt;F132,J96,D133)</f>
        <v>395017</v>
      </c>
      <c r="F133" s="55">
        <f t="shared" si="77"/>
        <v>2264630</v>
      </c>
      <c r="G133" s="55">
        <f t="shared" si="78"/>
        <v>2462138.5</v>
      </c>
      <c r="H133" s="356">
        <f t="shared" si="75"/>
        <v>725728</v>
      </c>
      <c r="I133" s="381">
        <f t="shared" si="76"/>
        <v>725728</v>
      </c>
      <c r="J133" s="54">
        <f t="shared" si="82"/>
        <v>0</v>
      </c>
      <c r="K133" s="54"/>
      <c r="L133" s="115"/>
      <c r="M133" s="54">
        <f t="shared" si="79"/>
        <v>0</v>
      </c>
      <c r="N133" s="115"/>
      <c r="O133" s="54">
        <f t="shared" si="80"/>
        <v>0</v>
      </c>
      <c r="P133" s="54">
        <f t="shared" si="81"/>
        <v>0</v>
      </c>
    </row>
    <row r="134" spans="2:16" ht="12.5">
      <c r="B134" s="7" t="str">
        <f t="shared" si="48"/>
        <v/>
      </c>
      <c r="C134" s="50">
        <f>IF(D93="","-",+C133+1)</f>
        <v>2043</v>
      </c>
      <c r="D134" s="12">
        <f>IF(F133+SUM(E$99:E133)=D$92,F133,D$92-SUM(E$99:E133))</f>
        <v>2264630</v>
      </c>
      <c r="E134" s="355">
        <f>IF(+J96&lt;F133,J96,D134)</f>
        <v>395017</v>
      </c>
      <c r="F134" s="55">
        <f t="shared" si="77"/>
        <v>1869613</v>
      </c>
      <c r="G134" s="55">
        <f t="shared" si="78"/>
        <v>2067121.5</v>
      </c>
      <c r="H134" s="356">
        <f t="shared" si="75"/>
        <v>672670</v>
      </c>
      <c r="I134" s="381">
        <f t="shared" si="76"/>
        <v>672670</v>
      </c>
      <c r="J134" s="54">
        <f t="shared" si="82"/>
        <v>0</v>
      </c>
      <c r="K134" s="54"/>
      <c r="L134" s="115"/>
      <c r="M134" s="54">
        <f t="shared" si="79"/>
        <v>0</v>
      </c>
      <c r="N134" s="115"/>
      <c r="O134" s="54">
        <f t="shared" si="80"/>
        <v>0</v>
      </c>
      <c r="P134" s="54">
        <f t="shared" si="81"/>
        <v>0</v>
      </c>
    </row>
    <row r="135" spans="2:16" ht="12.5">
      <c r="B135" s="7" t="str">
        <f t="shared" si="48"/>
        <v/>
      </c>
      <c r="C135" s="50">
        <f>IF(D93="","-",+C134+1)</f>
        <v>2044</v>
      </c>
      <c r="D135" s="12">
        <f>IF(F134+SUM(E$99:E134)=D$92,F134,D$92-SUM(E$99:E134))</f>
        <v>1869613</v>
      </c>
      <c r="E135" s="355">
        <f>IF(+J96&lt;F134,J96,D135)</f>
        <v>395017</v>
      </c>
      <c r="F135" s="55">
        <f t="shared" si="77"/>
        <v>1474596</v>
      </c>
      <c r="G135" s="55">
        <f t="shared" si="78"/>
        <v>1672104.5</v>
      </c>
      <c r="H135" s="356">
        <f t="shared" si="75"/>
        <v>619612</v>
      </c>
      <c r="I135" s="381">
        <f t="shared" si="76"/>
        <v>619612</v>
      </c>
      <c r="J135" s="54">
        <f t="shared" si="82"/>
        <v>0</v>
      </c>
      <c r="K135" s="54"/>
      <c r="L135" s="115"/>
      <c r="M135" s="54">
        <f t="shared" si="79"/>
        <v>0</v>
      </c>
      <c r="N135" s="115"/>
      <c r="O135" s="54">
        <f t="shared" si="80"/>
        <v>0</v>
      </c>
      <c r="P135" s="54">
        <f t="shared" si="81"/>
        <v>0</v>
      </c>
    </row>
    <row r="136" spans="2:16" ht="12.5">
      <c r="B136" s="7" t="str">
        <f t="shared" si="48"/>
        <v/>
      </c>
      <c r="C136" s="50">
        <f>IF(D93="","-",+C135+1)</f>
        <v>2045</v>
      </c>
      <c r="D136" s="12">
        <f>IF(F135+SUM(E$99:E135)=D$92,F135,D$92-SUM(E$99:E135))</f>
        <v>1474596</v>
      </c>
      <c r="E136" s="355">
        <f>IF(+J96&lt;F135,J96,D136)</f>
        <v>395017</v>
      </c>
      <c r="F136" s="55">
        <f t="shared" si="77"/>
        <v>1079579</v>
      </c>
      <c r="G136" s="55">
        <f t="shared" si="78"/>
        <v>1277087.5</v>
      </c>
      <c r="H136" s="356">
        <f t="shared" si="75"/>
        <v>566554</v>
      </c>
      <c r="I136" s="381">
        <f t="shared" si="76"/>
        <v>566554</v>
      </c>
      <c r="J136" s="54">
        <f t="shared" si="82"/>
        <v>0</v>
      </c>
      <c r="K136" s="54"/>
      <c r="L136" s="115"/>
      <c r="M136" s="54">
        <f t="shared" si="79"/>
        <v>0</v>
      </c>
      <c r="N136" s="115"/>
      <c r="O136" s="54">
        <f t="shared" si="80"/>
        <v>0</v>
      </c>
      <c r="P136" s="54">
        <f t="shared" si="81"/>
        <v>0</v>
      </c>
    </row>
    <row r="137" spans="2:16" ht="12.5">
      <c r="B137" s="7" t="str">
        <f t="shared" si="48"/>
        <v/>
      </c>
      <c r="C137" s="50">
        <f>IF(D93="","-",+C136+1)</f>
        <v>2046</v>
      </c>
      <c r="D137" s="12">
        <f>IF(F136+SUM(E$99:E136)=D$92,F136,D$92-SUM(E$99:E136))</f>
        <v>1079579</v>
      </c>
      <c r="E137" s="355">
        <f>IF(+J96&lt;F136,J96,D137)</f>
        <v>395017</v>
      </c>
      <c r="F137" s="55">
        <f t="shared" si="77"/>
        <v>684562</v>
      </c>
      <c r="G137" s="55">
        <f t="shared" si="78"/>
        <v>882070.5</v>
      </c>
      <c r="H137" s="356">
        <f t="shared" si="75"/>
        <v>513496</v>
      </c>
      <c r="I137" s="381">
        <f t="shared" si="76"/>
        <v>513496</v>
      </c>
      <c r="J137" s="54">
        <f t="shared" si="82"/>
        <v>0</v>
      </c>
      <c r="K137" s="54"/>
      <c r="L137" s="115"/>
      <c r="M137" s="54">
        <f t="shared" si="79"/>
        <v>0</v>
      </c>
      <c r="N137" s="115"/>
      <c r="O137" s="54">
        <f t="shared" si="80"/>
        <v>0</v>
      </c>
      <c r="P137" s="54">
        <f t="shared" si="81"/>
        <v>0</v>
      </c>
    </row>
    <row r="138" spans="2:16" ht="12.5">
      <c r="B138" s="7" t="str">
        <f t="shared" si="48"/>
        <v/>
      </c>
      <c r="C138" s="50">
        <f>IF(D93="","-",+C137+1)</f>
        <v>2047</v>
      </c>
      <c r="D138" s="12">
        <f>IF(F137+SUM(E$99:E137)=D$92,F137,D$92-SUM(E$99:E137))</f>
        <v>684562</v>
      </c>
      <c r="E138" s="355">
        <f>IF(+J96&lt;F137,J96,D138)</f>
        <v>395017</v>
      </c>
      <c r="F138" s="55">
        <f t="shared" si="77"/>
        <v>289545</v>
      </c>
      <c r="G138" s="55">
        <f t="shared" si="78"/>
        <v>487053.5</v>
      </c>
      <c r="H138" s="356">
        <f t="shared" si="75"/>
        <v>460437</v>
      </c>
      <c r="I138" s="381">
        <f t="shared" si="76"/>
        <v>460437</v>
      </c>
      <c r="J138" s="54">
        <f t="shared" si="82"/>
        <v>0</v>
      </c>
      <c r="K138" s="54"/>
      <c r="L138" s="115"/>
      <c r="M138" s="54">
        <f t="shared" si="79"/>
        <v>0</v>
      </c>
      <c r="N138" s="115"/>
      <c r="O138" s="54">
        <f t="shared" si="80"/>
        <v>0</v>
      </c>
      <c r="P138" s="54">
        <f t="shared" si="81"/>
        <v>0</v>
      </c>
    </row>
    <row r="139" spans="2:16" ht="12.5">
      <c r="B139" s="7" t="str">
        <f t="shared" si="48"/>
        <v/>
      </c>
      <c r="C139" s="50">
        <f>IF(D93="","-",+C138+1)</f>
        <v>2048</v>
      </c>
      <c r="D139" s="12">
        <f>IF(F138+SUM(E$99:E138)=D$92,F138,D$92-SUM(E$99:E138))</f>
        <v>289545</v>
      </c>
      <c r="E139" s="355">
        <f>IF(+J96&lt;F138,J96,D139)</f>
        <v>289545</v>
      </c>
      <c r="F139" s="55">
        <f t="shared" si="77"/>
        <v>0</v>
      </c>
      <c r="G139" s="55">
        <f t="shared" si="78"/>
        <v>144772.5</v>
      </c>
      <c r="H139" s="356">
        <f t="shared" si="75"/>
        <v>308991</v>
      </c>
      <c r="I139" s="381">
        <f t="shared" si="76"/>
        <v>308991</v>
      </c>
      <c r="J139" s="54">
        <f t="shared" si="82"/>
        <v>0</v>
      </c>
      <c r="K139" s="54"/>
      <c r="L139" s="115"/>
      <c r="M139" s="54">
        <f t="shared" si="79"/>
        <v>0</v>
      </c>
      <c r="N139" s="115"/>
      <c r="O139" s="54">
        <f t="shared" si="80"/>
        <v>0</v>
      </c>
      <c r="P139" s="54">
        <f t="shared" si="81"/>
        <v>0</v>
      </c>
    </row>
    <row r="140" spans="2:16" ht="12.5">
      <c r="B140" s="7" t="str">
        <f t="shared" si="48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7"/>
        <v>0</v>
      </c>
      <c r="G140" s="55">
        <f t="shared" si="78"/>
        <v>0</v>
      </c>
      <c r="H140" s="356">
        <f t="shared" si="75"/>
        <v>0</v>
      </c>
      <c r="I140" s="381">
        <f t="shared" si="76"/>
        <v>0</v>
      </c>
      <c r="J140" s="54">
        <f t="shared" si="82"/>
        <v>0</v>
      </c>
      <c r="K140" s="54"/>
      <c r="L140" s="115"/>
      <c r="M140" s="54">
        <f t="shared" si="79"/>
        <v>0</v>
      </c>
      <c r="N140" s="115"/>
      <c r="O140" s="54">
        <f t="shared" si="80"/>
        <v>0</v>
      </c>
      <c r="P140" s="54">
        <f t="shared" si="81"/>
        <v>0</v>
      </c>
    </row>
    <row r="141" spans="2:16" ht="12.5">
      <c r="B141" s="7" t="str">
        <f t="shared" si="48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7"/>
        <v>0</v>
      </c>
      <c r="G141" s="55">
        <f t="shared" si="78"/>
        <v>0</v>
      </c>
      <c r="H141" s="356">
        <f t="shared" si="75"/>
        <v>0</v>
      </c>
      <c r="I141" s="381">
        <f t="shared" si="76"/>
        <v>0</v>
      </c>
      <c r="J141" s="54">
        <f t="shared" si="82"/>
        <v>0</v>
      </c>
      <c r="K141" s="54"/>
      <c r="L141" s="115"/>
      <c r="M141" s="54">
        <f t="shared" si="79"/>
        <v>0</v>
      </c>
      <c r="N141" s="115"/>
      <c r="O141" s="54">
        <f t="shared" si="80"/>
        <v>0</v>
      </c>
      <c r="P141" s="54">
        <f t="shared" si="81"/>
        <v>0</v>
      </c>
    </row>
    <row r="142" spans="2:16" ht="12.5">
      <c r="B142" s="7" t="str">
        <f t="shared" si="48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7"/>
        <v>0</v>
      </c>
      <c r="G142" s="55">
        <f t="shared" si="78"/>
        <v>0</v>
      </c>
      <c r="H142" s="356">
        <f t="shared" si="75"/>
        <v>0</v>
      </c>
      <c r="I142" s="381">
        <f t="shared" si="76"/>
        <v>0</v>
      </c>
      <c r="J142" s="54">
        <f t="shared" si="82"/>
        <v>0</v>
      </c>
      <c r="K142" s="54"/>
      <c r="L142" s="115"/>
      <c r="M142" s="54">
        <f t="shared" si="79"/>
        <v>0</v>
      </c>
      <c r="N142" s="115"/>
      <c r="O142" s="54">
        <f t="shared" si="80"/>
        <v>0</v>
      </c>
      <c r="P142" s="54">
        <f t="shared" si="81"/>
        <v>0</v>
      </c>
    </row>
    <row r="143" spans="2:16" ht="12.5">
      <c r="B143" s="7" t="str">
        <f t="shared" si="48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7"/>
        <v>0</v>
      </c>
      <c r="G143" s="55">
        <f t="shared" si="78"/>
        <v>0</v>
      </c>
      <c r="H143" s="356">
        <f t="shared" si="75"/>
        <v>0</v>
      </c>
      <c r="I143" s="381">
        <f t="shared" si="76"/>
        <v>0</v>
      </c>
      <c r="J143" s="54">
        <f t="shared" si="82"/>
        <v>0</v>
      </c>
      <c r="K143" s="54"/>
      <c r="L143" s="115"/>
      <c r="M143" s="54">
        <f t="shared" si="79"/>
        <v>0</v>
      </c>
      <c r="N143" s="115"/>
      <c r="O143" s="54">
        <f t="shared" si="80"/>
        <v>0</v>
      </c>
      <c r="P143" s="54">
        <f t="shared" si="81"/>
        <v>0</v>
      </c>
    </row>
    <row r="144" spans="2:16" ht="12.5">
      <c r="B144" s="7" t="str">
        <f t="shared" si="48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7"/>
        <v>0</v>
      </c>
      <c r="G144" s="55">
        <f t="shared" si="78"/>
        <v>0</v>
      </c>
      <c r="H144" s="356">
        <f t="shared" si="75"/>
        <v>0</v>
      </c>
      <c r="I144" s="381">
        <f t="shared" si="76"/>
        <v>0</v>
      </c>
      <c r="J144" s="54">
        <f t="shared" si="82"/>
        <v>0</v>
      </c>
      <c r="K144" s="54"/>
      <c r="L144" s="115"/>
      <c r="M144" s="54">
        <f t="shared" si="79"/>
        <v>0</v>
      </c>
      <c r="N144" s="115"/>
      <c r="O144" s="54">
        <f t="shared" si="80"/>
        <v>0</v>
      </c>
      <c r="P144" s="54">
        <f t="shared" si="81"/>
        <v>0</v>
      </c>
    </row>
    <row r="145" spans="2:16" ht="12.5">
      <c r="B145" s="7" t="str">
        <f t="shared" si="48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7"/>
        <v>0</v>
      </c>
      <c r="G145" s="55">
        <f t="shared" si="78"/>
        <v>0</v>
      </c>
      <c r="H145" s="356">
        <f t="shared" si="75"/>
        <v>0</v>
      </c>
      <c r="I145" s="381">
        <f t="shared" si="76"/>
        <v>0</v>
      </c>
      <c r="J145" s="54">
        <f t="shared" si="82"/>
        <v>0</v>
      </c>
      <c r="K145" s="54"/>
      <c r="L145" s="115"/>
      <c r="M145" s="54">
        <f t="shared" si="79"/>
        <v>0</v>
      </c>
      <c r="N145" s="115"/>
      <c r="O145" s="54">
        <f t="shared" si="80"/>
        <v>0</v>
      </c>
      <c r="P145" s="54">
        <f t="shared" si="81"/>
        <v>0</v>
      </c>
    </row>
    <row r="146" spans="2:16" ht="12.5">
      <c r="B146" s="7" t="str">
        <f t="shared" si="48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7"/>
        <v>0</v>
      </c>
      <c r="G146" s="55">
        <f t="shared" si="78"/>
        <v>0</v>
      </c>
      <c r="H146" s="356">
        <f t="shared" si="75"/>
        <v>0</v>
      </c>
      <c r="I146" s="381">
        <f t="shared" si="76"/>
        <v>0</v>
      </c>
      <c r="J146" s="54">
        <f t="shared" si="82"/>
        <v>0</v>
      </c>
      <c r="K146" s="54"/>
      <c r="L146" s="115"/>
      <c r="M146" s="54">
        <f t="shared" si="79"/>
        <v>0</v>
      </c>
      <c r="N146" s="115"/>
      <c r="O146" s="54">
        <f t="shared" si="80"/>
        <v>0</v>
      </c>
      <c r="P146" s="54">
        <f t="shared" si="81"/>
        <v>0</v>
      </c>
    </row>
    <row r="147" spans="2:16" ht="12.5">
      <c r="B147" s="7" t="str">
        <f t="shared" si="48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7"/>
        <v>0</v>
      </c>
      <c r="G147" s="55">
        <f t="shared" si="78"/>
        <v>0</v>
      </c>
      <c r="H147" s="356">
        <f t="shared" si="75"/>
        <v>0</v>
      </c>
      <c r="I147" s="381">
        <f t="shared" si="76"/>
        <v>0</v>
      </c>
      <c r="J147" s="54">
        <f t="shared" si="82"/>
        <v>0</v>
      </c>
      <c r="K147" s="54"/>
      <c r="L147" s="115"/>
      <c r="M147" s="54">
        <f t="shared" si="79"/>
        <v>0</v>
      </c>
      <c r="N147" s="115"/>
      <c r="O147" s="54">
        <f t="shared" si="80"/>
        <v>0</v>
      </c>
      <c r="P147" s="54">
        <f t="shared" si="81"/>
        <v>0</v>
      </c>
    </row>
    <row r="148" spans="2:16" ht="12.5">
      <c r="B148" s="7" t="str">
        <f t="shared" si="48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7"/>
        <v>0</v>
      </c>
      <c r="G148" s="55">
        <f t="shared" si="78"/>
        <v>0</v>
      </c>
      <c r="H148" s="356">
        <f t="shared" si="75"/>
        <v>0</v>
      </c>
      <c r="I148" s="381">
        <f t="shared" si="76"/>
        <v>0</v>
      </c>
      <c r="J148" s="54">
        <f t="shared" si="82"/>
        <v>0</v>
      </c>
      <c r="K148" s="54"/>
      <c r="L148" s="115"/>
      <c r="M148" s="54">
        <f t="shared" si="79"/>
        <v>0</v>
      </c>
      <c r="N148" s="115"/>
      <c r="O148" s="54">
        <f t="shared" si="80"/>
        <v>0</v>
      </c>
      <c r="P148" s="54">
        <f t="shared" si="81"/>
        <v>0</v>
      </c>
    </row>
    <row r="149" spans="2:16" ht="12.5">
      <c r="B149" s="7" t="str">
        <f t="shared" si="48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7"/>
        <v>0</v>
      </c>
      <c r="G149" s="55">
        <f t="shared" si="78"/>
        <v>0</v>
      </c>
      <c r="H149" s="356">
        <f t="shared" si="75"/>
        <v>0</v>
      </c>
      <c r="I149" s="381">
        <f t="shared" si="76"/>
        <v>0</v>
      </c>
      <c r="J149" s="54">
        <f t="shared" si="82"/>
        <v>0</v>
      </c>
      <c r="K149" s="54"/>
      <c r="L149" s="115"/>
      <c r="M149" s="54">
        <f t="shared" si="79"/>
        <v>0</v>
      </c>
      <c r="N149" s="115"/>
      <c r="O149" s="54">
        <f t="shared" si="80"/>
        <v>0</v>
      </c>
      <c r="P149" s="54">
        <f t="shared" si="81"/>
        <v>0</v>
      </c>
    </row>
    <row r="150" spans="2:16" ht="12.5">
      <c r="B150" s="7" t="str">
        <f t="shared" si="48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7"/>
        <v>0</v>
      </c>
      <c r="G150" s="55">
        <f t="shared" si="78"/>
        <v>0</v>
      </c>
      <c r="H150" s="356">
        <f t="shared" si="75"/>
        <v>0</v>
      </c>
      <c r="I150" s="381">
        <f t="shared" si="76"/>
        <v>0</v>
      </c>
      <c r="J150" s="54">
        <f t="shared" si="82"/>
        <v>0</v>
      </c>
      <c r="K150" s="54"/>
      <c r="L150" s="115"/>
      <c r="M150" s="54">
        <f t="shared" si="79"/>
        <v>0</v>
      </c>
      <c r="N150" s="115"/>
      <c r="O150" s="54">
        <f t="shared" si="80"/>
        <v>0</v>
      </c>
      <c r="P150" s="54">
        <f t="shared" si="81"/>
        <v>0</v>
      </c>
    </row>
    <row r="151" spans="2:16" ht="12.5">
      <c r="B151" s="7" t="str">
        <f t="shared" si="48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7"/>
        <v>0</v>
      </c>
      <c r="G151" s="55">
        <f t="shared" si="78"/>
        <v>0</v>
      </c>
      <c r="H151" s="356">
        <f t="shared" si="75"/>
        <v>0</v>
      </c>
      <c r="I151" s="381">
        <f t="shared" si="76"/>
        <v>0</v>
      </c>
      <c r="J151" s="54">
        <f t="shared" si="82"/>
        <v>0</v>
      </c>
      <c r="K151" s="54"/>
      <c r="L151" s="115"/>
      <c r="M151" s="54">
        <f t="shared" si="79"/>
        <v>0</v>
      </c>
      <c r="N151" s="115"/>
      <c r="O151" s="54">
        <f t="shared" si="80"/>
        <v>0</v>
      </c>
      <c r="P151" s="54">
        <f t="shared" si="81"/>
        <v>0</v>
      </c>
    </row>
    <row r="152" spans="2:16" ht="12.5">
      <c r="B152" s="7" t="str">
        <f t="shared" si="48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7"/>
        <v>0</v>
      </c>
      <c r="G152" s="55">
        <f t="shared" si="78"/>
        <v>0</v>
      </c>
      <c r="H152" s="356">
        <f t="shared" si="75"/>
        <v>0</v>
      </c>
      <c r="I152" s="381">
        <f t="shared" si="76"/>
        <v>0</v>
      </c>
      <c r="J152" s="54">
        <f t="shared" si="82"/>
        <v>0</v>
      </c>
      <c r="K152" s="54"/>
      <c r="L152" s="115"/>
      <c r="M152" s="54">
        <f t="shared" si="79"/>
        <v>0</v>
      </c>
      <c r="N152" s="115"/>
      <c r="O152" s="54">
        <f t="shared" si="80"/>
        <v>0</v>
      </c>
      <c r="P152" s="54">
        <f t="shared" si="81"/>
        <v>0</v>
      </c>
    </row>
    <row r="153" spans="2:16" ht="12.5">
      <c r="B153" s="7" t="str">
        <f t="shared" si="48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7"/>
        <v>0</v>
      </c>
      <c r="G153" s="55">
        <f t="shared" si="78"/>
        <v>0</v>
      </c>
      <c r="H153" s="356">
        <f t="shared" si="75"/>
        <v>0</v>
      </c>
      <c r="I153" s="381">
        <f t="shared" si="76"/>
        <v>0</v>
      </c>
      <c r="J153" s="54">
        <f t="shared" si="82"/>
        <v>0</v>
      </c>
      <c r="K153" s="54"/>
      <c r="L153" s="115"/>
      <c r="M153" s="54">
        <f t="shared" si="79"/>
        <v>0</v>
      </c>
      <c r="N153" s="115"/>
      <c r="O153" s="54">
        <f t="shared" si="80"/>
        <v>0</v>
      </c>
      <c r="P153" s="54">
        <f t="shared" si="81"/>
        <v>0</v>
      </c>
    </row>
    <row r="154" spans="2:16" ht="13" thickBot="1">
      <c r="B154" s="7" t="str">
        <f t="shared" si="48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7"/>
        <v>0</v>
      </c>
      <c r="G154" s="59">
        <f t="shared" si="78"/>
        <v>0</v>
      </c>
      <c r="H154" s="358">
        <f t="shared" si="75"/>
        <v>0</v>
      </c>
      <c r="I154" s="383">
        <f t="shared" si="76"/>
        <v>0</v>
      </c>
      <c r="J154" s="62">
        <f t="shared" si="82"/>
        <v>0</v>
      </c>
      <c r="K154" s="54"/>
      <c r="L154" s="116"/>
      <c r="M154" s="62">
        <f t="shared" si="79"/>
        <v>0</v>
      </c>
      <c r="N154" s="116"/>
      <c r="O154" s="62">
        <f t="shared" si="80"/>
        <v>0</v>
      </c>
      <c r="P154" s="62">
        <f t="shared" si="81"/>
        <v>0</v>
      </c>
    </row>
    <row r="155" spans="2:16" ht="12.5">
      <c r="C155" s="12" t="s">
        <v>77</v>
      </c>
      <c r="D155" s="267"/>
      <c r="E155" s="267">
        <f>SUM(E99:E154)</f>
        <v>14615636</v>
      </c>
      <c r="F155" s="267"/>
      <c r="G155" s="267"/>
      <c r="H155" s="267">
        <f>SUM(H99:H154)</f>
        <v>55986879.516291127</v>
      </c>
      <c r="I155" s="267">
        <f>SUM(I99:I154)</f>
        <v>55986879.516291127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0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V162"/>
  <sheetViews>
    <sheetView topLeftCell="A18"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5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35416.399968878912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35416.399968878912</v>
      </c>
      <c r="O6" s="1"/>
      <c r="P6" s="1"/>
    </row>
    <row r="7" spans="1:16" ht="13.5" thickBot="1">
      <c r="C7" s="26" t="s">
        <v>46</v>
      </c>
      <c r="D7" s="332" t="s">
        <v>206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83</v>
      </c>
      <c r="E9" s="404" t="s">
        <v>350</v>
      </c>
      <c r="F9" s="32"/>
      <c r="G9" s="452" t="s">
        <v>391</v>
      </c>
      <c r="H9" s="32"/>
      <c r="I9" s="33"/>
      <c r="J9" s="34"/>
      <c r="P9" s="1"/>
    </row>
    <row r="10" spans="1:16" ht="13">
      <c r="C10" s="128" t="s">
        <v>226</v>
      </c>
      <c r="D10" s="336">
        <v>387742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5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10203.736842105263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2006</v>
      </c>
      <c r="D17" s="349">
        <v>387742</v>
      </c>
      <c r="E17" s="350">
        <v>3877</v>
      </c>
      <c r="F17" s="349">
        <v>383865</v>
      </c>
      <c r="G17" s="350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/>
      <c r="C18" s="50">
        <f>IF(D11="","-",+C17+1)</f>
        <v>2007</v>
      </c>
      <c r="D18" s="351">
        <v>383865</v>
      </c>
      <c r="E18" s="352">
        <v>7755</v>
      </c>
      <c r="F18" s="351">
        <v>376110</v>
      </c>
      <c r="G18" s="351">
        <v>59847</v>
      </c>
      <c r="H18" s="351">
        <v>59847</v>
      </c>
      <c r="I18" s="52">
        <f t="shared" si="0"/>
        <v>0</v>
      </c>
      <c r="J18" s="52"/>
      <c r="K18" s="324">
        <v>59847</v>
      </c>
      <c r="L18" s="54">
        <f t="shared" si="1"/>
        <v>0</v>
      </c>
      <c r="M18" s="324">
        <v>59847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/>
      <c r="C19" s="50">
        <f>IF(D11="","-",+C18+1)</f>
        <v>2008</v>
      </c>
      <c r="D19" s="351">
        <v>376557</v>
      </c>
      <c r="E19" s="392">
        <v>7457</v>
      </c>
      <c r="F19" s="351">
        <v>369100</v>
      </c>
      <c r="G19" s="351">
        <v>62208</v>
      </c>
      <c r="H19" s="351">
        <v>62208</v>
      </c>
      <c r="I19" s="52">
        <f t="shared" si="0"/>
        <v>0</v>
      </c>
      <c r="J19" s="52"/>
      <c r="K19" s="324">
        <v>62208</v>
      </c>
      <c r="L19" s="54">
        <f t="shared" si="1"/>
        <v>0</v>
      </c>
      <c r="M19" s="324">
        <v>62208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/>
      <c r="C20" s="50">
        <f>IF(D11="","-",+C19+1)</f>
        <v>2009</v>
      </c>
      <c r="D20" s="351">
        <v>368843</v>
      </c>
      <c r="E20" s="392">
        <v>7316</v>
      </c>
      <c r="F20" s="351">
        <v>361527</v>
      </c>
      <c r="G20" s="351">
        <v>62704</v>
      </c>
      <c r="H20" s="351">
        <v>62704</v>
      </c>
      <c r="I20" s="52">
        <f t="shared" si="0"/>
        <v>0</v>
      </c>
      <c r="J20" s="52"/>
      <c r="K20" s="324">
        <v>62704</v>
      </c>
      <c r="L20" s="54">
        <f t="shared" si="1"/>
        <v>0</v>
      </c>
      <c r="M20" s="324">
        <v>62704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/>
      <c r="C21" s="50">
        <f>IF(D12="","-",+C20+1)</f>
        <v>2010</v>
      </c>
      <c r="D21" s="351">
        <v>361337</v>
      </c>
      <c r="E21" s="352">
        <v>6923.9642857142853</v>
      </c>
      <c r="F21" s="351">
        <v>354413.03571428574</v>
      </c>
      <c r="G21" s="352">
        <v>58064.529944767884</v>
      </c>
      <c r="H21" s="353">
        <v>58064.529944767884</v>
      </c>
      <c r="I21" s="52">
        <f t="shared" si="0"/>
        <v>0</v>
      </c>
      <c r="J21" s="52"/>
      <c r="K21" s="379">
        <f t="shared" ref="K21:K26" si="4">G21</f>
        <v>58064.529944767884</v>
      </c>
      <c r="L21" s="54">
        <f t="shared" si="1"/>
        <v>0</v>
      </c>
      <c r="M21" s="379">
        <f t="shared" ref="M21:M26" si="5">H21</f>
        <v>58064.529944767884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ref="B22:B72" si="6">IF(D22=F21,"","IU")</f>
        <v/>
      </c>
      <c r="C22" s="50">
        <f>IF(D11="","-",+C21+1)</f>
        <v>2011</v>
      </c>
      <c r="D22" s="351">
        <v>354413.03571428574</v>
      </c>
      <c r="E22" s="352">
        <v>7602.7843137254904</v>
      </c>
      <c r="F22" s="351">
        <v>346810.25140056026</v>
      </c>
      <c r="G22" s="352">
        <v>61893.620096156621</v>
      </c>
      <c r="H22" s="353">
        <v>61893.620096156621</v>
      </c>
      <c r="I22" s="52">
        <f t="shared" si="0"/>
        <v>0</v>
      </c>
      <c r="J22" s="52"/>
      <c r="K22" s="324">
        <f t="shared" si="4"/>
        <v>61893.620096156621</v>
      </c>
      <c r="L22" s="54">
        <f t="shared" si="1"/>
        <v>0</v>
      </c>
      <c r="M22" s="324">
        <f t="shared" si="5"/>
        <v>61893.620096156621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2012</v>
      </c>
      <c r="D23" s="351">
        <v>346810.25140056026</v>
      </c>
      <c r="E23" s="352">
        <v>7456.5769230769229</v>
      </c>
      <c r="F23" s="351">
        <v>339353.67447748332</v>
      </c>
      <c r="G23" s="352">
        <v>54696.893588724874</v>
      </c>
      <c r="H23" s="353">
        <v>54696.893588724874</v>
      </c>
      <c r="I23" s="52">
        <f t="shared" si="0"/>
        <v>0</v>
      </c>
      <c r="J23" s="52"/>
      <c r="K23" s="324">
        <f t="shared" si="4"/>
        <v>54696.893588724874</v>
      </c>
      <c r="L23" s="54">
        <f t="shared" si="1"/>
        <v>0</v>
      </c>
      <c r="M23" s="324">
        <f t="shared" si="5"/>
        <v>54696.893588724874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6"/>
        <v/>
      </c>
      <c r="C24" s="50">
        <f>IF(D11="","-",+C23+1)</f>
        <v>2013</v>
      </c>
      <c r="D24" s="351">
        <v>339353.67447748332</v>
      </c>
      <c r="E24" s="352">
        <v>7456.5769230769229</v>
      </c>
      <c r="F24" s="351">
        <v>331897.09755440638</v>
      </c>
      <c r="G24" s="352">
        <v>54853.72619811543</v>
      </c>
      <c r="H24" s="353">
        <v>54853.72619811543</v>
      </c>
      <c r="I24" s="52">
        <v>0</v>
      </c>
      <c r="J24" s="52"/>
      <c r="K24" s="324">
        <f t="shared" si="4"/>
        <v>54853.72619811543</v>
      </c>
      <c r="L24" s="54">
        <f t="shared" ref="L24:L29" si="7">IF(K24&lt;&gt;0,+G24-K24,0)</f>
        <v>0</v>
      </c>
      <c r="M24" s="324">
        <f t="shared" si="5"/>
        <v>54853.72619811543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2014</v>
      </c>
      <c r="D25" s="351">
        <v>331897.09755440638</v>
      </c>
      <c r="E25" s="352">
        <v>7456.5769230769229</v>
      </c>
      <c r="F25" s="351">
        <v>324440.52063132945</v>
      </c>
      <c r="G25" s="352">
        <v>52118.659182147123</v>
      </c>
      <c r="H25" s="353">
        <v>52118.659182147123</v>
      </c>
      <c r="I25" s="52">
        <v>0</v>
      </c>
      <c r="J25" s="52"/>
      <c r="K25" s="324">
        <f t="shared" si="4"/>
        <v>52118.659182147123</v>
      </c>
      <c r="L25" s="54">
        <f t="shared" si="7"/>
        <v>0</v>
      </c>
      <c r="M25" s="324">
        <f t="shared" si="5"/>
        <v>52118.659182147123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2015</v>
      </c>
      <c r="D26" s="351">
        <v>324440.52063132945</v>
      </c>
      <c r="E26" s="352">
        <v>7456.5769230769229</v>
      </c>
      <c r="F26" s="351">
        <v>316983.94370825251</v>
      </c>
      <c r="G26" s="352">
        <v>51159.678410482353</v>
      </c>
      <c r="H26" s="353">
        <v>51159.678410482353</v>
      </c>
      <c r="I26" s="52">
        <v>0</v>
      </c>
      <c r="J26" s="52"/>
      <c r="K26" s="324">
        <f t="shared" si="4"/>
        <v>51159.678410482353</v>
      </c>
      <c r="L26" s="54">
        <f t="shared" si="7"/>
        <v>0</v>
      </c>
      <c r="M26" s="324">
        <f t="shared" si="5"/>
        <v>51159.678410482353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2016</v>
      </c>
      <c r="D27" s="351">
        <v>316983.94370825251</v>
      </c>
      <c r="E27" s="352">
        <v>7456.5769230769229</v>
      </c>
      <c r="F27" s="351">
        <v>309527.36678517557</v>
      </c>
      <c r="G27" s="352">
        <v>48054.073071867475</v>
      </c>
      <c r="H27" s="353">
        <v>48054.073071867475</v>
      </c>
      <c r="I27" s="52">
        <f t="shared" si="0"/>
        <v>0</v>
      </c>
      <c r="J27" s="52"/>
      <c r="K27" s="324">
        <f t="shared" ref="K27:K32" si="10">G27</f>
        <v>48054.073071867475</v>
      </c>
      <c r="L27" s="54">
        <f t="shared" si="7"/>
        <v>0</v>
      </c>
      <c r="M27" s="324">
        <f t="shared" ref="M27:M32" si="11">H27</f>
        <v>48054.073071867475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2017</v>
      </c>
      <c r="D28" s="351">
        <v>309527.36678517557</v>
      </c>
      <c r="E28" s="352">
        <v>8429.173913043478</v>
      </c>
      <c r="F28" s="351">
        <v>301098.19287213212</v>
      </c>
      <c r="G28" s="352">
        <v>46747.12706959022</v>
      </c>
      <c r="H28" s="353">
        <v>46747.12706959022</v>
      </c>
      <c r="I28" s="52">
        <f t="shared" si="0"/>
        <v>0</v>
      </c>
      <c r="J28" s="52"/>
      <c r="K28" s="324">
        <f t="shared" si="10"/>
        <v>46747.12706959022</v>
      </c>
      <c r="L28" s="54">
        <f t="shared" si="7"/>
        <v>0</v>
      </c>
      <c r="M28" s="324">
        <f t="shared" si="11"/>
        <v>46747.12706959022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6"/>
        <v/>
      </c>
      <c r="C29" s="50">
        <f>IF(D11="","-",+C28+1)</f>
        <v>2018</v>
      </c>
      <c r="D29" s="351">
        <v>301098.19287213212</v>
      </c>
      <c r="E29" s="352">
        <v>8616.4888888888891</v>
      </c>
      <c r="F29" s="351">
        <v>292481.70398324321</v>
      </c>
      <c r="G29" s="352">
        <v>44159.738725302646</v>
      </c>
      <c r="H29" s="353">
        <v>44159.738725302646</v>
      </c>
      <c r="I29" s="52">
        <f t="shared" si="0"/>
        <v>0</v>
      </c>
      <c r="J29" s="52"/>
      <c r="K29" s="324">
        <f t="shared" si="10"/>
        <v>44159.738725302646</v>
      </c>
      <c r="L29" s="54">
        <f t="shared" si="7"/>
        <v>0</v>
      </c>
      <c r="M29" s="324">
        <f t="shared" si="11"/>
        <v>44159.738725302646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6"/>
        <v/>
      </c>
      <c r="C30" s="50">
        <f>IF(D11="","-",+C29+1)</f>
        <v>2019</v>
      </c>
      <c r="D30" s="351">
        <v>292481.70398324321</v>
      </c>
      <c r="E30" s="352">
        <v>9693.5499999999993</v>
      </c>
      <c r="F30" s="351">
        <v>282788.15398324322</v>
      </c>
      <c r="G30" s="352">
        <v>41809.897213779383</v>
      </c>
      <c r="H30" s="353">
        <v>41809.897213779383</v>
      </c>
      <c r="I30" s="52">
        <f t="shared" si="0"/>
        <v>0</v>
      </c>
      <c r="J30" s="52"/>
      <c r="K30" s="324">
        <f t="shared" si="10"/>
        <v>41809.897213779383</v>
      </c>
      <c r="L30" s="54">
        <f t="shared" ref="L30" si="12">IF(K30&lt;&gt;0,+G30-K30,0)</f>
        <v>0</v>
      </c>
      <c r="M30" s="324">
        <f t="shared" si="11"/>
        <v>41809.897213779383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 ht="12.5">
      <c r="B31" s="7" t="str">
        <f t="shared" si="6"/>
        <v>IU</v>
      </c>
      <c r="C31" s="50">
        <f>IF(D11="","-",+C30+1)</f>
        <v>2020</v>
      </c>
      <c r="D31" s="351">
        <v>283865.21509435429</v>
      </c>
      <c r="E31" s="352">
        <v>9231.9523809523816</v>
      </c>
      <c r="F31" s="351">
        <v>274633.26271340193</v>
      </c>
      <c r="G31" s="352">
        <v>39392.204131039958</v>
      </c>
      <c r="H31" s="353">
        <v>39392.204131039958</v>
      </c>
      <c r="I31" s="52">
        <f t="shared" si="0"/>
        <v>0</v>
      </c>
      <c r="J31" s="52"/>
      <c r="K31" s="324">
        <f t="shared" si="10"/>
        <v>39392.204131039958</v>
      </c>
      <c r="L31" s="54">
        <f t="shared" ref="L31" si="15">IF(K31&lt;&gt;0,+G31-K31,0)</f>
        <v>0</v>
      </c>
      <c r="M31" s="324">
        <f t="shared" si="11"/>
        <v>39392.204131039958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2021</v>
      </c>
      <c r="D32" s="351">
        <v>273556.20160229085</v>
      </c>
      <c r="E32" s="352">
        <v>9017.2558139534885</v>
      </c>
      <c r="F32" s="351">
        <v>264538.94578833738</v>
      </c>
      <c r="G32" s="352">
        <v>37540.281940264002</v>
      </c>
      <c r="H32" s="353">
        <v>37540.281940264002</v>
      </c>
      <c r="I32" s="52">
        <f t="shared" si="0"/>
        <v>0</v>
      </c>
      <c r="J32" s="52"/>
      <c r="K32" s="324">
        <f t="shared" si="10"/>
        <v>37540.281940264002</v>
      </c>
      <c r="L32" s="54">
        <f t="shared" ref="L32" si="16">IF(K32&lt;&gt;0,+G32-K32,0)</f>
        <v>0</v>
      </c>
      <c r="M32" s="324">
        <f t="shared" si="11"/>
        <v>37540.281940264002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2022</v>
      </c>
      <c r="D33" s="351">
        <v>264538.94578833738</v>
      </c>
      <c r="E33" s="352">
        <v>9231.9523809523816</v>
      </c>
      <c r="F33" s="351">
        <v>255306.99340738502</v>
      </c>
      <c r="G33" s="352">
        <v>36756.917403506392</v>
      </c>
      <c r="H33" s="353">
        <v>36756.917403506392</v>
      </c>
      <c r="I33" s="52">
        <f t="shared" si="0"/>
        <v>0</v>
      </c>
      <c r="J33" s="52"/>
      <c r="K33" s="324">
        <f t="shared" ref="K33" si="17">G33</f>
        <v>36756.917403506392</v>
      </c>
      <c r="L33" s="54">
        <f t="shared" ref="L33" si="18">IF(K33&lt;&gt;0,+G33-K33,0)</f>
        <v>0</v>
      </c>
      <c r="M33" s="324">
        <f t="shared" ref="M33" si="19">H33</f>
        <v>36756.917403506392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2023</v>
      </c>
      <c r="D34" s="351">
        <v>255306.99340738502</v>
      </c>
      <c r="E34" s="352">
        <v>9942.1025641025644</v>
      </c>
      <c r="F34" s="351">
        <v>245364.89084328245</v>
      </c>
      <c r="G34" s="352">
        <v>39228.598463176066</v>
      </c>
      <c r="H34" s="353">
        <v>39228.598463176066</v>
      </c>
      <c r="I34" s="52">
        <f t="shared" si="0"/>
        <v>0</v>
      </c>
      <c r="J34" s="52"/>
      <c r="K34" s="324">
        <f t="shared" ref="K34" si="20">G34</f>
        <v>39228.598463176066</v>
      </c>
      <c r="L34" s="54">
        <f t="shared" ref="L34" si="21">IF(K34&lt;&gt;0,+G34-K34,0)</f>
        <v>0</v>
      </c>
      <c r="M34" s="324">
        <f t="shared" ref="M34" si="22">H34</f>
        <v>39228.598463176066</v>
      </c>
      <c r="N34" s="54">
        <f t="shared" ref="N34" si="23">IF(M34&lt;&gt;0,+H34-M34,0)</f>
        <v>0</v>
      </c>
      <c r="O34" s="54">
        <f t="shared" ref="O34" si="24">+N34-L34</f>
        <v>0</v>
      </c>
      <c r="P34" s="1"/>
    </row>
    <row r="35" spans="2:16" ht="12.5">
      <c r="B35" s="7" t="str">
        <f t="shared" si="6"/>
        <v/>
      </c>
      <c r="C35" s="450">
        <f>IF(D11="","-",+C34+1)</f>
        <v>2024</v>
      </c>
      <c r="D35" s="351">
        <v>245364.89084328245</v>
      </c>
      <c r="E35" s="352">
        <v>10203.736842105263</v>
      </c>
      <c r="F35" s="351">
        <v>235161.1540011772</v>
      </c>
      <c r="G35" s="352">
        <v>36951.010609631776</v>
      </c>
      <c r="H35" s="353">
        <v>36951.010609631776</v>
      </c>
      <c r="I35" s="52">
        <f t="shared" si="0"/>
        <v>0</v>
      </c>
      <c r="J35" s="52"/>
      <c r="K35" s="324">
        <f t="shared" ref="K35" si="25">G35</f>
        <v>36951.010609631776</v>
      </c>
      <c r="L35" s="54">
        <f t="shared" ref="L35" si="26">IF(K35&lt;&gt;0,+G35-K35,0)</f>
        <v>0</v>
      </c>
      <c r="M35" s="324">
        <f t="shared" ref="M35" si="27">H35</f>
        <v>36951.010609631776</v>
      </c>
      <c r="N35" s="54">
        <f t="shared" ref="N35" si="28">IF(M35&lt;&gt;0,+H35-M35,0)</f>
        <v>0</v>
      </c>
      <c r="O35" s="54">
        <f t="shared" ref="O35" si="29">+N35-L35</f>
        <v>0</v>
      </c>
      <c r="P35" s="1"/>
    </row>
    <row r="36" spans="2:16" ht="13">
      <c r="B36" s="7" t="str">
        <f t="shared" si="6"/>
        <v/>
      </c>
      <c r="C36" s="449">
        <f>IF(D11="","-",+C35+1)</f>
        <v>2025</v>
      </c>
      <c r="D36" s="351">
        <v>235161.1540011772</v>
      </c>
      <c r="E36" s="352">
        <v>10203.736842105263</v>
      </c>
      <c r="F36" s="351">
        <v>224957.41715907195</v>
      </c>
      <c r="G36" s="352">
        <v>35760.36034724304</v>
      </c>
      <c r="H36" s="353">
        <v>35760.36034724304</v>
      </c>
      <c r="I36" s="52">
        <f t="shared" si="0"/>
        <v>0</v>
      </c>
      <c r="J36" s="52"/>
      <c r="K36" s="324">
        <f t="shared" ref="K36" si="30">G36</f>
        <v>35760.36034724304</v>
      </c>
      <c r="L36" s="54">
        <f t="shared" ref="L36" si="31">IF(K36&lt;&gt;0,+G36-K36,0)</f>
        <v>0</v>
      </c>
      <c r="M36" s="324">
        <f t="shared" ref="M36" si="32">H36</f>
        <v>35760.36034724304</v>
      </c>
      <c r="N36" s="54">
        <f t="shared" ref="N36" si="33">IF(M36&lt;&gt;0,+H36-M36,0)</f>
        <v>0</v>
      </c>
      <c r="O36" s="54">
        <f t="shared" ref="O36" si="34">+N36-L36</f>
        <v>0</v>
      </c>
      <c r="P36" s="1"/>
    </row>
    <row r="37" spans="2:16" ht="12.5">
      <c r="B37" s="7" t="str">
        <f t="shared" si="6"/>
        <v/>
      </c>
      <c r="C37" s="50">
        <f>IF(D11="","-",+C36+1)</f>
        <v>2026</v>
      </c>
      <c r="D37" s="55">
        <f>IF(F36+SUM(E$17:E36)=D$10,F36,D$10-SUM(E$17:E36))</f>
        <v>224957.41715907195</v>
      </c>
      <c r="E37" s="354">
        <f>IF(+I14&lt;F36,I14,D37)</f>
        <v>10203.736842105263</v>
      </c>
      <c r="F37" s="55">
        <f t="shared" ref="F37:F72" si="35">+D37-E37</f>
        <v>214753.6803169667</v>
      </c>
      <c r="G37" s="355">
        <f t="shared" ref="G37:G72" si="36">+I$12*F37+E37</f>
        <v>35416.399968878912</v>
      </c>
      <c r="H37" s="337">
        <f t="shared" ref="H37:H72" si="37">+I$13*F37+E37</f>
        <v>35416.399968878912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2027</v>
      </c>
      <c r="D38" s="55">
        <f>IF(F37+SUM(E$17:E37)=D$10,F37,D$10-SUM(E$17:E37))</f>
        <v>214753.6803169667</v>
      </c>
      <c r="E38" s="354">
        <f>IF(+I14&lt;F37,I14,D38)</f>
        <v>10203.736842105263</v>
      </c>
      <c r="F38" s="55">
        <f t="shared" si="35"/>
        <v>204549.94347486144</v>
      </c>
      <c r="G38" s="355">
        <f t="shared" si="36"/>
        <v>34218.453655434874</v>
      </c>
      <c r="H38" s="337">
        <f t="shared" si="37"/>
        <v>34218.453655434874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2028</v>
      </c>
      <c r="D39" s="55">
        <f>IF(F38+SUM(E$17:E38)=D$10,F38,D$10-SUM(E$17:E38))</f>
        <v>204549.94347486144</v>
      </c>
      <c r="E39" s="354">
        <f>IF(+I14&lt;F38,I14,D39)</f>
        <v>10203.736842105263</v>
      </c>
      <c r="F39" s="55">
        <f t="shared" si="35"/>
        <v>194346.20663275619</v>
      </c>
      <c r="G39" s="355">
        <f t="shared" si="36"/>
        <v>33020.507341990844</v>
      </c>
      <c r="H39" s="337">
        <f t="shared" si="37"/>
        <v>33020.507341990844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2029</v>
      </c>
      <c r="D40" s="55">
        <f>IF(F39+SUM(E$17:E39)=D$10,F39,D$10-SUM(E$17:E39))</f>
        <v>194346.20663275619</v>
      </c>
      <c r="E40" s="354">
        <f>IF(+I14&lt;F39,I14,D40)</f>
        <v>10203.736842105263</v>
      </c>
      <c r="F40" s="55">
        <f t="shared" si="35"/>
        <v>184142.46979065094</v>
      </c>
      <c r="G40" s="355">
        <f t="shared" si="36"/>
        <v>31822.56102854681</v>
      </c>
      <c r="H40" s="337">
        <f t="shared" si="37"/>
        <v>31822.56102854681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2030</v>
      </c>
      <c r="D41" s="55">
        <f>IF(F40+SUM(E$17:E40)=D$10,F40,D$10-SUM(E$17:E40))</f>
        <v>184142.46979065094</v>
      </c>
      <c r="E41" s="354">
        <f>IF(+I14&lt;F40,I14,D41)</f>
        <v>10203.736842105263</v>
      </c>
      <c r="F41" s="55">
        <f t="shared" si="35"/>
        <v>173938.73294854569</v>
      </c>
      <c r="G41" s="355">
        <f t="shared" si="36"/>
        <v>30624.614715102776</v>
      </c>
      <c r="H41" s="337">
        <f t="shared" si="37"/>
        <v>30624.614715102776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2031</v>
      </c>
      <c r="D42" s="55">
        <f>IF(F41+SUM(E$17:E41)=D$10,F41,D$10-SUM(E$17:E41))</f>
        <v>173938.73294854569</v>
      </c>
      <c r="E42" s="354">
        <f>IF(+I14&lt;F41,I14,D42)</f>
        <v>10203.736842105263</v>
      </c>
      <c r="F42" s="55">
        <f t="shared" si="35"/>
        <v>163734.99610644043</v>
      </c>
      <c r="G42" s="355">
        <f t="shared" si="36"/>
        <v>29426.668401658739</v>
      </c>
      <c r="H42" s="337">
        <f t="shared" si="37"/>
        <v>29426.668401658739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2032</v>
      </c>
      <c r="D43" s="55">
        <f>IF(F42+SUM(E$17:E42)=D$10,F42,D$10-SUM(E$17:E42))</f>
        <v>163734.99610644043</v>
      </c>
      <c r="E43" s="354">
        <f>IF(+I14&lt;F42,I14,D43)</f>
        <v>10203.736842105263</v>
      </c>
      <c r="F43" s="55">
        <f t="shared" si="35"/>
        <v>153531.25926433518</v>
      </c>
      <c r="G43" s="355">
        <f t="shared" si="36"/>
        <v>28228.722088214705</v>
      </c>
      <c r="H43" s="337">
        <f t="shared" si="37"/>
        <v>28228.722088214705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2033</v>
      </c>
      <c r="D44" s="55">
        <f>IF(F43+SUM(E$17:E43)=D$10,F43,D$10-SUM(E$17:E43))</f>
        <v>153531.25926433518</v>
      </c>
      <c r="E44" s="354">
        <f>IF(+I14&lt;F43,I14,D44)</f>
        <v>10203.736842105263</v>
      </c>
      <c r="F44" s="55">
        <f t="shared" si="35"/>
        <v>143327.52242222993</v>
      </c>
      <c r="G44" s="355">
        <f t="shared" si="36"/>
        <v>27030.775774770671</v>
      </c>
      <c r="H44" s="337">
        <f t="shared" si="37"/>
        <v>27030.775774770671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2034</v>
      </c>
      <c r="D45" s="55">
        <f>IF(F44+SUM(E$17:E44)=D$10,F44,D$10-SUM(E$17:E44))</f>
        <v>143327.52242222993</v>
      </c>
      <c r="E45" s="354">
        <f>IF(+I14&lt;F44,I14,D45)</f>
        <v>10203.736842105263</v>
      </c>
      <c r="F45" s="55">
        <f t="shared" si="35"/>
        <v>133123.78558012468</v>
      </c>
      <c r="G45" s="355">
        <f t="shared" si="36"/>
        <v>25832.829461326641</v>
      </c>
      <c r="H45" s="337">
        <f t="shared" si="37"/>
        <v>25832.829461326641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2035</v>
      </c>
      <c r="D46" s="55">
        <f>IF(F45+SUM(E$17:E45)=D$10,F45,D$10-SUM(E$17:E45))</f>
        <v>133123.78558012468</v>
      </c>
      <c r="E46" s="354">
        <f>IF(+I14&lt;F45,I14,D46)</f>
        <v>10203.736842105263</v>
      </c>
      <c r="F46" s="55">
        <f t="shared" si="35"/>
        <v>122920.04873801941</v>
      </c>
      <c r="G46" s="355">
        <f t="shared" si="36"/>
        <v>24634.883147882603</v>
      </c>
      <c r="H46" s="337">
        <f t="shared" si="37"/>
        <v>24634.883147882603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2036</v>
      </c>
      <c r="D47" s="55">
        <f>IF(F46+SUM(E$17:E46)=D$10,F46,D$10-SUM(E$17:E46))</f>
        <v>122920.04873801941</v>
      </c>
      <c r="E47" s="354">
        <f>IF(+I14&lt;F46,I14,D47)</f>
        <v>10203.736842105263</v>
      </c>
      <c r="F47" s="55">
        <f t="shared" si="35"/>
        <v>112716.31189591414</v>
      </c>
      <c r="G47" s="355">
        <f t="shared" si="36"/>
        <v>23436.936834438566</v>
      </c>
      <c r="H47" s="337">
        <f t="shared" si="37"/>
        <v>23436.936834438566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2037</v>
      </c>
      <c r="D48" s="55">
        <f>IF(F47+SUM(E$17:E47)=D$10,F47,D$10-SUM(E$17:E47))</f>
        <v>112716.31189591414</v>
      </c>
      <c r="E48" s="354">
        <f>IF(+I14&lt;F47,I14,D48)</f>
        <v>10203.736842105263</v>
      </c>
      <c r="F48" s="55">
        <f t="shared" si="35"/>
        <v>102512.57505380888</v>
      </c>
      <c r="G48" s="355">
        <f t="shared" si="36"/>
        <v>22238.990520994528</v>
      </c>
      <c r="H48" s="337">
        <f t="shared" si="37"/>
        <v>22238.990520994528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2038</v>
      </c>
      <c r="D49" s="55">
        <f>IF(F48+SUM(E$17:E48)=D$10,F48,D$10-SUM(E$17:E48))</f>
        <v>102512.57505380888</v>
      </c>
      <c r="E49" s="354">
        <f>IF(+I14&lt;F48,I14,D49)</f>
        <v>10203.736842105263</v>
      </c>
      <c r="F49" s="55">
        <f t="shared" si="35"/>
        <v>92308.838211703609</v>
      </c>
      <c r="G49" s="355">
        <f t="shared" si="36"/>
        <v>21041.044207550494</v>
      </c>
      <c r="H49" s="337">
        <f t="shared" si="37"/>
        <v>21041.044207550494</v>
      </c>
      <c r="I49" s="52">
        <f t="shared" ref="I49:I72" si="38">H49-G49</f>
        <v>0</v>
      </c>
      <c r="J49" s="52"/>
      <c r="K49" s="115"/>
      <c r="L49" s="54">
        <f t="shared" ref="L49:L72" si="39">IF(K49&lt;&gt;0,+G49-K49,0)</f>
        <v>0</v>
      </c>
      <c r="M49" s="115"/>
      <c r="N49" s="54">
        <f t="shared" ref="N49:N72" si="40">IF(M49&lt;&gt;0,+H49-M49,0)</f>
        <v>0</v>
      </c>
      <c r="O49" s="54">
        <f t="shared" ref="O49:O72" si="41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2039</v>
      </c>
      <c r="D50" s="55">
        <f>IF(F49+SUM(E$17:E49)=D$10,F49,D$10-SUM(E$17:E49))</f>
        <v>92308.838211703609</v>
      </c>
      <c r="E50" s="354">
        <f>IF(+I14&lt;F49,I14,D50)</f>
        <v>10203.736842105263</v>
      </c>
      <c r="F50" s="55">
        <f t="shared" si="35"/>
        <v>82105.101369598342</v>
      </c>
      <c r="G50" s="355">
        <f t="shared" si="36"/>
        <v>19843.09789410646</v>
      </c>
      <c r="H50" s="337">
        <f t="shared" si="37"/>
        <v>19843.09789410646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22" ht="12.5">
      <c r="B51" s="7" t="str">
        <f t="shared" si="6"/>
        <v/>
      </c>
      <c r="C51" s="50">
        <f>IF(D11="","-",+C50+1)</f>
        <v>2040</v>
      </c>
      <c r="D51" s="55">
        <f>IF(F50+SUM(E$17:E50)=D$10,F50,D$10-SUM(E$17:E50))</f>
        <v>82105.101369598342</v>
      </c>
      <c r="E51" s="354">
        <f>IF(+I14&lt;F50,I14,D51)</f>
        <v>10203.736842105263</v>
      </c>
      <c r="F51" s="55">
        <f t="shared" si="35"/>
        <v>71901.364527493075</v>
      </c>
      <c r="G51" s="355">
        <f t="shared" si="36"/>
        <v>18645.151580662423</v>
      </c>
      <c r="H51" s="337">
        <f t="shared" si="37"/>
        <v>18645.151580662423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2041</v>
      </c>
      <c r="D52" s="55">
        <f>IF(F51+SUM(E$17:E51)=D$10,F51,D$10-SUM(E$17:E51))</f>
        <v>71901.364527493075</v>
      </c>
      <c r="E52" s="354">
        <f>IF(+I14&lt;F51,I14,D52)</f>
        <v>10203.736842105263</v>
      </c>
      <c r="F52" s="55">
        <f t="shared" si="35"/>
        <v>61697.627685387808</v>
      </c>
      <c r="G52" s="355">
        <f t="shared" si="36"/>
        <v>17447.205267218385</v>
      </c>
      <c r="H52" s="337">
        <f t="shared" si="37"/>
        <v>17447.205267218385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22" ht="12.5">
      <c r="B53" s="7" t="str">
        <f t="shared" si="6"/>
        <v/>
      </c>
      <c r="C53" s="50">
        <f>IF(D11="","-",+C52+1)</f>
        <v>2042</v>
      </c>
      <c r="D53" s="55">
        <f>IF(F52+SUM(E$17:E52)=D$10,F52,D$10-SUM(E$17:E52))</f>
        <v>61697.627685387808</v>
      </c>
      <c r="E53" s="354">
        <f>IF(+I14&lt;F52,I14,D53)</f>
        <v>10203.736842105263</v>
      </c>
      <c r="F53" s="55">
        <f t="shared" si="35"/>
        <v>51493.890843282541</v>
      </c>
      <c r="G53" s="355">
        <f t="shared" si="36"/>
        <v>16249.258953774352</v>
      </c>
      <c r="H53" s="337">
        <f t="shared" si="37"/>
        <v>16249.258953774352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22" ht="12.5">
      <c r="B54" s="7" t="str">
        <f t="shared" si="6"/>
        <v/>
      </c>
      <c r="C54" s="50">
        <f>IF(D11="","-",+C53+1)</f>
        <v>2043</v>
      </c>
      <c r="D54" s="55">
        <f>IF(F53+SUM(E$17:E53)=D$10,F53,D$10-SUM(E$17:E53))</f>
        <v>51493.890843282541</v>
      </c>
      <c r="E54" s="354">
        <f>IF(+I14&lt;F53,I14,D54)</f>
        <v>10203.736842105263</v>
      </c>
      <c r="F54" s="55">
        <f t="shared" si="35"/>
        <v>41290.154001177274</v>
      </c>
      <c r="G54" s="355">
        <f t="shared" si="36"/>
        <v>15051.312640330316</v>
      </c>
      <c r="H54" s="337">
        <f t="shared" si="37"/>
        <v>15051.312640330316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22" ht="12.5">
      <c r="B55" s="7" t="str">
        <f t="shared" si="6"/>
        <v/>
      </c>
      <c r="C55" s="50">
        <f>IF(D11="","-",+C54+1)</f>
        <v>2044</v>
      </c>
      <c r="D55" s="55">
        <f>IF(F54+SUM(E$17:E54)=D$10,F54,D$10-SUM(E$17:E54))</f>
        <v>41290.154001177274</v>
      </c>
      <c r="E55" s="354">
        <f>IF(+I14&lt;F54,I14,D55)</f>
        <v>10203.736842105263</v>
      </c>
      <c r="F55" s="55">
        <f t="shared" si="35"/>
        <v>31086.417159072011</v>
      </c>
      <c r="G55" s="355">
        <f t="shared" si="36"/>
        <v>13853.36632688628</v>
      </c>
      <c r="H55" s="337">
        <f t="shared" si="37"/>
        <v>13853.36632688628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22" ht="12.5">
      <c r="B56" s="7" t="str">
        <f t="shared" si="6"/>
        <v/>
      </c>
      <c r="C56" s="50">
        <f>IF(D11="","-",+C55+1)</f>
        <v>2045</v>
      </c>
      <c r="D56" s="55">
        <f>IF(F55+SUM(E$17:E55)=D$10,F55,D$10-SUM(E$17:E55))</f>
        <v>31086.417159072011</v>
      </c>
      <c r="E56" s="354">
        <f>IF(+I14&lt;F55,I14,D56)</f>
        <v>10203.736842105263</v>
      </c>
      <c r="F56" s="55">
        <f t="shared" si="35"/>
        <v>20882.680316966747</v>
      </c>
      <c r="G56" s="355">
        <f t="shared" si="36"/>
        <v>12655.420013442246</v>
      </c>
      <c r="H56" s="337">
        <f t="shared" si="37"/>
        <v>12655.420013442246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22" ht="12.5">
      <c r="B57" s="7" t="str">
        <f t="shared" si="6"/>
        <v/>
      </c>
      <c r="C57" s="50">
        <f>IF(D11="","-",+C56+1)</f>
        <v>2046</v>
      </c>
      <c r="D57" s="55">
        <f>IF(F56+SUM(E$17:E56)=D$10,F56,D$10-SUM(E$17:E56))</f>
        <v>20882.680316966747</v>
      </c>
      <c r="E57" s="354">
        <f>IF(+I14&lt;F56,I14,D57)</f>
        <v>10203.736842105263</v>
      </c>
      <c r="F57" s="55">
        <f t="shared" si="35"/>
        <v>10678.943474861484</v>
      </c>
      <c r="G57" s="355">
        <f t="shared" si="36"/>
        <v>11457.473699998211</v>
      </c>
      <c r="H57" s="337">
        <f t="shared" si="37"/>
        <v>11457.473699998211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22" ht="12.5">
      <c r="B58" s="7" t="str">
        <f t="shared" si="6"/>
        <v/>
      </c>
      <c r="C58" s="50">
        <f>IF(D11="","-",+C57+1)</f>
        <v>2047</v>
      </c>
      <c r="D58" s="55">
        <f>IF(F57+SUM(E$17:E57)=D$10,F57,D$10-SUM(E$17:E57))</f>
        <v>10678.943474861484</v>
      </c>
      <c r="E58" s="354">
        <f>IF(+I14&lt;F57,I14,D58)</f>
        <v>10203.736842105263</v>
      </c>
      <c r="F58" s="55">
        <f t="shared" si="35"/>
        <v>475.20663275622064</v>
      </c>
      <c r="G58" s="355">
        <f t="shared" si="36"/>
        <v>10259.527386554175</v>
      </c>
      <c r="H58" s="337">
        <f t="shared" si="37"/>
        <v>10259.527386554175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22" ht="12.5">
      <c r="B59" s="7" t="str">
        <f t="shared" si="6"/>
        <v/>
      </c>
      <c r="C59" s="50">
        <f>IF(D11="","-",+C58+1)</f>
        <v>2048</v>
      </c>
      <c r="D59" s="55">
        <f>IF(F58+SUM(E$17:E58)=D$10,F58,D$10-SUM(E$17:E58))</f>
        <v>475.20663275622064</v>
      </c>
      <c r="E59" s="354">
        <f>IF(+I14&lt;F58,I14,D59)</f>
        <v>475.20663275622064</v>
      </c>
      <c r="F59" s="55">
        <f t="shared" si="35"/>
        <v>0</v>
      </c>
      <c r="G59" s="355">
        <f t="shared" si="36"/>
        <v>475.20663275622064</v>
      </c>
      <c r="H59" s="337">
        <f t="shared" si="37"/>
        <v>475.20663275622064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22" ht="12.5">
      <c r="B60" s="7" t="str">
        <f t="shared" si="6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35"/>
        <v>0</v>
      </c>
      <c r="G60" s="355">
        <f t="shared" si="36"/>
        <v>0</v>
      </c>
      <c r="H60" s="337">
        <f t="shared" si="37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22" ht="12.5">
      <c r="B61" s="7" t="str">
        <f t="shared" si="6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35"/>
        <v>0</v>
      </c>
      <c r="G61" s="356">
        <f t="shared" si="36"/>
        <v>0</v>
      </c>
      <c r="H61" s="337">
        <f t="shared" si="37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22" ht="12.5">
      <c r="B62" s="7" t="str">
        <f t="shared" si="6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35"/>
        <v>0</v>
      </c>
      <c r="G62" s="356">
        <f t="shared" si="36"/>
        <v>0</v>
      </c>
      <c r="H62" s="337">
        <f t="shared" si="37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22" ht="12.5">
      <c r="B63" s="7" t="str">
        <f t="shared" si="6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35"/>
        <v>0</v>
      </c>
      <c r="G63" s="356">
        <f t="shared" si="36"/>
        <v>0</v>
      </c>
      <c r="H63" s="337">
        <f t="shared" si="37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22" ht="12.5">
      <c r="B64" s="7" t="str">
        <f t="shared" si="6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35"/>
        <v>0</v>
      </c>
      <c r="G64" s="356">
        <f t="shared" si="36"/>
        <v>0</v>
      </c>
      <c r="H64" s="337">
        <f t="shared" si="37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 ht="12.5">
      <c r="B65" s="7" t="str">
        <f t="shared" si="6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35"/>
        <v>0</v>
      </c>
      <c r="G65" s="356">
        <f t="shared" si="36"/>
        <v>0</v>
      </c>
      <c r="H65" s="337">
        <f t="shared" si="37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 ht="12.5">
      <c r="B66" s="7" t="str">
        <f t="shared" si="6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35"/>
        <v>0</v>
      </c>
      <c r="G66" s="356">
        <f t="shared" si="36"/>
        <v>0</v>
      </c>
      <c r="H66" s="337">
        <f t="shared" si="37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 ht="12.5">
      <c r="B67" s="7" t="str">
        <f t="shared" si="6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35"/>
        <v>0</v>
      </c>
      <c r="G67" s="356">
        <f t="shared" si="36"/>
        <v>0</v>
      </c>
      <c r="H67" s="337">
        <f t="shared" si="37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 ht="12.5">
      <c r="B68" s="7" t="str">
        <f t="shared" si="6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35"/>
        <v>0</v>
      </c>
      <c r="G68" s="356">
        <f t="shared" si="36"/>
        <v>0</v>
      </c>
      <c r="H68" s="337">
        <f t="shared" si="37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 ht="12.5">
      <c r="B69" s="7" t="str">
        <f t="shared" si="6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35"/>
        <v>0</v>
      </c>
      <c r="G69" s="356">
        <f t="shared" si="36"/>
        <v>0</v>
      </c>
      <c r="H69" s="337">
        <f t="shared" si="37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 ht="12.5">
      <c r="B70" s="7" t="str">
        <f t="shared" si="6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35"/>
        <v>0</v>
      </c>
      <c r="G70" s="356">
        <f t="shared" si="36"/>
        <v>0</v>
      </c>
      <c r="H70" s="337">
        <f t="shared" si="37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 ht="12.5">
      <c r="B71" s="7" t="str">
        <f t="shared" si="6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35"/>
        <v>0</v>
      </c>
      <c r="G71" s="356">
        <f t="shared" si="36"/>
        <v>0</v>
      </c>
      <c r="H71" s="337">
        <f t="shared" si="37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35"/>
        <v>0</v>
      </c>
      <c r="G72" s="358">
        <f t="shared" si="36"/>
        <v>0</v>
      </c>
      <c r="H72" s="335">
        <f t="shared" si="37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 ht="12.5">
      <c r="C73" s="12" t="s">
        <v>77</v>
      </c>
      <c r="D73" s="267"/>
      <c r="E73" s="267">
        <f>SUM(E17:E72)</f>
        <v>387742.00000000017</v>
      </c>
      <c r="F73" s="267"/>
      <c r="G73" s="267">
        <f>SUM(G17:G72)</f>
        <v>1426856.7239383154</v>
      </c>
      <c r="H73" s="267">
        <f>SUM(H17:H72)</f>
        <v>1426856.7239383154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5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36951.010609631776</v>
      </c>
      <c r="N87" s="364">
        <f>IF(J92&lt;D11,0,VLOOKUP(J92,C17:O72,11))</f>
        <v>36951.010609631776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42192.806640975934</v>
      </c>
      <c r="N88" s="367">
        <f>IF(J92&lt;D11,0,VLOOKUP(J92,C99:P154,7))</f>
        <v>42192.806640975934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 138 kV Device (Cap. Bank)</v>
      </c>
      <c r="E89" s="1"/>
      <c r="F89" s="1"/>
      <c r="G89" s="1">
        <v>387742</v>
      </c>
      <c r="H89" s="1"/>
      <c r="I89" s="202"/>
      <c r="J89" s="202"/>
      <c r="K89" s="368"/>
      <c r="L89" s="110" t="s">
        <v>156</v>
      </c>
      <c r="M89" s="369">
        <f>+M88-M87</f>
        <v>5241.7960313441581</v>
      </c>
      <c r="N89" s="369">
        <f>+N88-N87</f>
        <v>5241.7960313441581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TP2005006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387742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10480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101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2006</v>
      </c>
      <c r="D99" s="349">
        <v>0</v>
      </c>
      <c r="E99" s="352">
        <v>3801</v>
      </c>
      <c r="F99" s="351">
        <v>383941</v>
      </c>
      <c r="G99" s="376">
        <v>385841</v>
      </c>
      <c r="H99" s="377">
        <v>0</v>
      </c>
      <c r="I99" s="378">
        <v>0</v>
      </c>
      <c r="J99" s="54">
        <f t="shared" ref="J99:J130" si="42">+I99-H99</f>
        <v>0</v>
      </c>
      <c r="K99" s="54"/>
      <c r="L99" s="117">
        <v>0</v>
      </c>
      <c r="M99" s="53">
        <f>IF(L99&lt;&gt;0,+H99-L99,0)</f>
        <v>0</v>
      </c>
      <c r="N99" s="117">
        <v>0</v>
      </c>
      <c r="O99" s="53">
        <f>IF(N99&lt;&gt;0,+I99-N99,0)</f>
        <v>0</v>
      </c>
      <c r="P99" s="53">
        <f t="shared" ref="P99:P130" si="43">+O99-M99</f>
        <v>0</v>
      </c>
    </row>
    <row r="100" spans="1:16" ht="12.5">
      <c r="B100" s="7" t="str">
        <f t="shared" ref="B100:B154" si="44">IF(D100=F99,"","IU")</f>
        <v/>
      </c>
      <c r="C100" s="50">
        <f>IF(D93="","-",+C99+1)</f>
        <v>2007</v>
      </c>
      <c r="D100" s="349">
        <v>383941</v>
      </c>
      <c r="E100" s="392">
        <v>7603</v>
      </c>
      <c r="F100" s="351">
        <v>376338</v>
      </c>
      <c r="G100" s="351">
        <v>380140</v>
      </c>
      <c r="H100" s="352">
        <v>66528</v>
      </c>
      <c r="I100" s="353">
        <v>66528</v>
      </c>
      <c r="J100" s="54">
        <f t="shared" si="42"/>
        <v>0</v>
      </c>
      <c r="K100" s="54"/>
      <c r="L100" s="324">
        <v>0</v>
      </c>
      <c r="M100" s="54">
        <f>IF(L100&lt;&gt;0,+H100-L100,0)</f>
        <v>0</v>
      </c>
      <c r="N100" s="324">
        <v>0</v>
      </c>
      <c r="O100" s="54">
        <f>IF(N100&lt;&gt;0,+I100-N100,0)</f>
        <v>0</v>
      </c>
      <c r="P100" s="54">
        <f t="shared" si="43"/>
        <v>0</v>
      </c>
    </row>
    <row r="101" spans="1:16" ht="12.5">
      <c r="B101" s="7"/>
      <c r="C101" s="50">
        <f>IF(D93="","-",+C100+1)</f>
        <v>2008</v>
      </c>
      <c r="D101" s="349">
        <v>376159</v>
      </c>
      <c r="E101" s="392">
        <v>7316</v>
      </c>
      <c r="F101" s="351">
        <v>368843</v>
      </c>
      <c r="G101" s="351">
        <v>372501</v>
      </c>
      <c r="H101" s="352">
        <v>66486</v>
      </c>
      <c r="I101" s="353">
        <v>66486</v>
      </c>
      <c r="J101" s="54">
        <f t="shared" si="42"/>
        <v>0</v>
      </c>
      <c r="K101" s="54"/>
      <c r="L101" s="324">
        <v>66486</v>
      </c>
      <c r="M101" s="54">
        <f>IF(L101&lt;&gt;"",+H101-L101,0)</f>
        <v>0</v>
      </c>
      <c r="N101" s="324">
        <v>66486</v>
      </c>
      <c r="O101" s="54">
        <f>IF(N101&lt;&gt;"",+I101-N101,0)</f>
        <v>0</v>
      </c>
      <c r="P101" s="54">
        <f t="shared" si="43"/>
        <v>0</v>
      </c>
    </row>
    <row r="102" spans="1:16" ht="12.5">
      <c r="B102" s="7"/>
      <c r="C102" s="50">
        <f>IF(D93="","-",+C101+1)</f>
        <v>2009</v>
      </c>
      <c r="D102" s="349">
        <v>369022</v>
      </c>
      <c r="E102" s="352">
        <v>6924</v>
      </c>
      <c r="F102" s="351">
        <v>362098</v>
      </c>
      <c r="G102" s="351">
        <v>365560</v>
      </c>
      <c r="H102" s="352">
        <v>60371.899487403767</v>
      </c>
      <c r="I102" s="353">
        <v>60371.899487403767</v>
      </c>
      <c r="J102" s="54">
        <f t="shared" si="42"/>
        <v>0</v>
      </c>
      <c r="K102" s="54"/>
      <c r="L102" s="324">
        <f t="shared" ref="L102:L107" si="45">H102</f>
        <v>60371.899487403767</v>
      </c>
      <c r="M102" s="54">
        <f t="shared" ref="M102:M133" si="46">IF(L102&lt;&gt;0,+H102-L102,0)</f>
        <v>0</v>
      </c>
      <c r="N102" s="324">
        <f t="shared" ref="N102:N107" si="47">I102</f>
        <v>60371.899487403767</v>
      </c>
      <c r="O102" s="54">
        <f t="shared" ref="O102:O133" si="48">IF(N102&lt;&gt;0,+I102-N102,0)</f>
        <v>0</v>
      </c>
      <c r="P102" s="54">
        <f t="shared" si="43"/>
        <v>0</v>
      </c>
    </row>
    <row r="103" spans="1:16" ht="12.5">
      <c r="B103" s="7" t="str">
        <f t="shared" si="44"/>
        <v/>
      </c>
      <c r="C103" s="50">
        <f>IF(D93="","-",+C102+1)</f>
        <v>2010</v>
      </c>
      <c r="D103" s="349">
        <v>362098</v>
      </c>
      <c r="E103" s="352">
        <v>7603</v>
      </c>
      <c r="F103" s="351">
        <v>354495</v>
      </c>
      <c r="G103" s="351">
        <v>358296.5</v>
      </c>
      <c r="H103" s="352">
        <v>65222.531099646738</v>
      </c>
      <c r="I103" s="353">
        <v>65222.531099646738</v>
      </c>
      <c r="J103" s="54">
        <f t="shared" si="42"/>
        <v>0</v>
      </c>
      <c r="K103" s="54"/>
      <c r="L103" s="379">
        <f t="shared" si="45"/>
        <v>65222.531099646738</v>
      </c>
      <c r="M103" s="380">
        <f t="shared" si="46"/>
        <v>0</v>
      </c>
      <c r="N103" s="379">
        <f t="shared" si="47"/>
        <v>65222.531099646738</v>
      </c>
      <c r="O103" s="54">
        <f t="shared" si="48"/>
        <v>0</v>
      </c>
      <c r="P103" s="54">
        <f t="shared" si="43"/>
        <v>0</v>
      </c>
    </row>
    <row r="104" spans="1:16" ht="12.5">
      <c r="B104" s="7" t="str">
        <f t="shared" si="44"/>
        <v/>
      </c>
      <c r="C104" s="50">
        <f>IF(D93="","-",+C103+1)</f>
        <v>2011</v>
      </c>
      <c r="D104" s="349">
        <v>354495</v>
      </c>
      <c r="E104" s="352">
        <v>7457</v>
      </c>
      <c r="F104" s="351">
        <v>347038</v>
      </c>
      <c r="G104" s="351">
        <v>350766.5</v>
      </c>
      <c r="H104" s="352">
        <v>56498.870276795831</v>
      </c>
      <c r="I104" s="353">
        <v>56498.870276795831</v>
      </c>
      <c r="J104" s="54">
        <f t="shared" si="42"/>
        <v>0</v>
      </c>
      <c r="K104" s="54"/>
      <c r="L104" s="379">
        <f t="shared" si="45"/>
        <v>56498.870276795831</v>
      </c>
      <c r="M104" s="380">
        <f t="shared" si="46"/>
        <v>0</v>
      </c>
      <c r="N104" s="379">
        <f t="shared" si="47"/>
        <v>56498.870276795831</v>
      </c>
      <c r="O104" s="54">
        <f t="shared" si="48"/>
        <v>0</v>
      </c>
      <c r="P104" s="54">
        <f t="shared" si="43"/>
        <v>0</v>
      </c>
    </row>
    <row r="105" spans="1:16" ht="12.5">
      <c r="B105" s="7" t="str">
        <f t="shared" si="44"/>
        <v/>
      </c>
      <c r="C105" s="50">
        <f>IF(D93="","-",+C104+1)</f>
        <v>2012</v>
      </c>
      <c r="D105" s="349">
        <v>347038</v>
      </c>
      <c r="E105" s="352">
        <v>7457</v>
      </c>
      <c r="F105" s="351">
        <v>339581</v>
      </c>
      <c r="G105" s="351">
        <v>343309.5</v>
      </c>
      <c r="H105" s="352">
        <v>56843.953528154576</v>
      </c>
      <c r="I105" s="353">
        <v>56843.953528154576</v>
      </c>
      <c r="J105" s="54">
        <v>0</v>
      </c>
      <c r="K105" s="54"/>
      <c r="L105" s="379">
        <f t="shared" si="45"/>
        <v>56843.953528154576</v>
      </c>
      <c r="M105" s="380">
        <f t="shared" ref="M105:M110" si="49">IF(L105&lt;&gt;0,+H105-L105,0)</f>
        <v>0</v>
      </c>
      <c r="N105" s="379">
        <f t="shared" si="47"/>
        <v>56843.953528154576</v>
      </c>
      <c r="O105" s="54">
        <f t="shared" ref="O105:O110" si="50">IF(N105&lt;&gt;0,+I105-N105,0)</f>
        <v>0</v>
      </c>
      <c r="P105" s="54">
        <f t="shared" ref="P105:P110" si="51">+O105-M105</f>
        <v>0</v>
      </c>
    </row>
    <row r="106" spans="1:16" ht="12.5">
      <c r="B106" s="7" t="str">
        <f t="shared" si="44"/>
        <v/>
      </c>
      <c r="C106" s="50">
        <f>IF(D93="","-",+C105+1)</f>
        <v>2013</v>
      </c>
      <c r="D106" s="349">
        <v>339581</v>
      </c>
      <c r="E106" s="352">
        <v>7457</v>
      </c>
      <c r="F106" s="351">
        <v>332124</v>
      </c>
      <c r="G106" s="351">
        <v>335852.5</v>
      </c>
      <c r="H106" s="352">
        <v>55799.472473591821</v>
      </c>
      <c r="I106" s="353">
        <v>55799.472473591821</v>
      </c>
      <c r="J106" s="54">
        <v>0</v>
      </c>
      <c r="K106" s="54"/>
      <c r="L106" s="379">
        <f t="shared" si="45"/>
        <v>55799.472473591821</v>
      </c>
      <c r="M106" s="380">
        <f t="shared" si="49"/>
        <v>0</v>
      </c>
      <c r="N106" s="379">
        <f t="shared" si="47"/>
        <v>55799.472473591821</v>
      </c>
      <c r="O106" s="54">
        <f t="shared" si="50"/>
        <v>0</v>
      </c>
      <c r="P106" s="54">
        <f t="shared" si="51"/>
        <v>0</v>
      </c>
    </row>
    <row r="107" spans="1:16" ht="12.5">
      <c r="B107" s="7" t="str">
        <f t="shared" si="44"/>
        <v/>
      </c>
      <c r="C107" s="50">
        <f>IF(D93="","-",+C106+1)</f>
        <v>2014</v>
      </c>
      <c r="D107" s="349">
        <v>332124</v>
      </c>
      <c r="E107" s="352">
        <v>7457</v>
      </c>
      <c r="F107" s="351">
        <v>324667</v>
      </c>
      <c r="G107" s="351">
        <v>328395.5</v>
      </c>
      <c r="H107" s="352">
        <v>53628.064898886892</v>
      </c>
      <c r="I107" s="353">
        <v>53628.064898886892</v>
      </c>
      <c r="J107" s="54">
        <v>0</v>
      </c>
      <c r="K107" s="54"/>
      <c r="L107" s="379">
        <f t="shared" si="45"/>
        <v>53628.064898886892</v>
      </c>
      <c r="M107" s="380">
        <f t="shared" si="49"/>
        <v>0</v>
      </c>
      <c r="N107" s="379">
        <f t="shared" si="47"/>
        <v>53628.064898886892</v>
      </c>
      <c r="O107" s="54">
        <f t="shared" si="50"/>
        <v>0</v>
      </c>
      <c r="P107" s="54">
        <f t="shared" si="51"/>
        <v>0</v>
      </c>
    </row>
    <row r="108" spans="1:16" ht="12.5">
      <c r="B108" s="7" t="str">
        <f t="shared" si="44"/>
        <v/>
      </c>
      <c r="C108" s="50">
        <f>IF(D93="","-",+C107+1)</f>
        <v>2015</v>
      </c>
      <c r="D108" s="349">
        <v>324667</v>
      </c>
      <c r="E108" s="352">
        <v>7457</v>
      </c>
      <c r="F108" s="351">
        <v>317210</v>
      </c>
      <c r="G108" s="351">
        <v>320938.5</v>
      </c>
      <c r="H108" s="352">
        <v>51246.477852296055</v>
      </c>
      <c r="I108" s="353">
        <v>51246.477852296055</v>
      </c>
      <c r="J108" s="54">
        <f t="shared" si="42"/>
        <v>0</v>
      </c>
      <c r="K108" s="54"/>
      <c r="L108" s="379">
        <f t="shared" ref="L108:L113" si="52">H108</f>
        <v>51246.477852296055</v>
      </c>
      <c r="M108" s="380">
        <f t="shared" si="49"/>
        <v>0</v>
      </c>
      <c r="N108" s="379">
        <f t="shared" ref="N108:N113" si="53">I108</f>
        <v>51246.477852296055</v>
      </c>
      <c r="O108" s="54">
        <f t="shared" si="50"/>
        <v>0</v>
      </c>
      <c r="P108" s="54">
        <f t="shared" si="51"/>
        <v>0</v>
      </c>
    </row>
    <row r="109" spans="1:16" ht="12.5">
      <c r="B109" s="7" t="str">
        <f t="shared" si="44"/>
        <v/>
      </c>
      <c r="C109" s="50">
        <f>IF(D93="","-",+C108+1)</f>
        <v>2016</v>
      </c>
      <c r="D109" s="349">
        <v>317210</v>
      </c>
      <c r="E109" s="352">
        <v>8429</v>
      </c>
      <c r="F109" s="351">
        <v>308781</v>
      </c>
      <c r="G109" s="351">
        <v>312995.5</v>
      </c>
      <c r="H109" s="352">
        <v>48779.04927680167</v>
      </c>
      <c r="I109" s="353">
        <v>48779.04927680167</v>
      </c>
      <c r="J109" s="54">
        <f t="shared" si="42"/>
        <v>0</v>
      </c>
      <c r="K109" s="54"/>
      <c r="L109" s="379">
        <f t="shared" si="52"/>
        <v>48779.04927680167</v>
      </c>
      <c r="M109" s="380">
        <f t="shared" si="49"/>
        <v>0</v>
      </c>
      <c r="N109" s="379">
        <f t="shared" si="53"/>
        <v>48779.04927680167</v>
      </c>
      <c r="O109" s="54">
        <f t="shared" si="50"/>
        <v>0</v>
      </c>
      <c r="P109" s="54">
        <f t="shared" si="51"/>
        <v>0</v>
      </c>
    </row>
    <row r="110" spans="1:16" ht="12.5">
      <c r="B110" s="7" t="str">
        <f t="shared" si="44"/>
        <v/>
      </c>
      <c r="C110" s="50">
        <f>IF(D93="","-",+C109+1)</f>
        <v>2017</v>
      </c>
      <c r="D110" s="349">
        <v>308781</v>
      </c>
      <c r="E110" s="352">
        <v>8429</v>
      </c>
      <c r="F110" s="351">
        <v>300352</v>
      </c>
      <c r="G110" s="351">
        <v>304566.5</v>
      </c>
      <c r="H110" s="352">
        <v>47064.028489702585</v>
      </c>
      <c r="I110" s="353">
        <v>47064.028489702585</v>
      </c>
      <c r="J110" s="54">
        <f t="shared" si="42"/>
        <v>0</v>
      </c>
      <c r="K110" s="54"/>
      <c r="L110" s="379">
        <f t="shared" si="52"/>
        <v>47064.028489702585</v>
      </c>
      <c r="M110" s="380">
        <f t="shared" si="49"/>
        <v>0</v>
      </c>
      <c r="N110" s="379">
        <f t="shared" si="53"/>
        <v>47064.028489702585</v>
      </c>
      <c r="O110" s="54">
        <f t="shared" si="50"/>
        <v>0</v>
      </c>
      <c r="P110" s="54">
        <f t="shared" si="51"/>
        <v>0</v>
      </c>
    </row>
    <row r="111" spans="1:16" ht="12.5">
      <c r="B111" s="7" t="str">
        <f t="shared" si="44"/>
        <v/>
      </c>
      <c r="C111" s="50">
        <f>IF(D93="","-",+C110+1)</f>
        <v>2018</v>
      </c>
      <c r="D111" s="349">
        <v>300352</v>
      </c>
      <c r="E111" s="352">
        <v>9017</v>
      </c>
      <c r="F111" s="351">
        <v>291335</v>
      </c>
      <c r="G111" s="351">
        <v>295843.5</v>
      </c>
      <c r="H111" s="352">
        <v>39410.649664559314</v>
      </c>
      <c r="I111" s="353">
        <v>39410.649664559314</v>
      </c>
      <c r="J111" s="54">
        <f t="shared" si="42"/>
        <v>0</v>
      </c>
      <c r="K111" s="54"/>
      <c r="L111" s="379">
        <f t="shared" si="52"/>
        <v>39410.649664559314</v>
      </c>
      <c r="M111" s="380">
        <f t="shared" ref="M111" si="54">IF(L111&lt;&gt;0,+H111-L111,0)</f>
        <v>0</v>
      </c>
      <c r="N111" s="379">
        <f t="shared" si="53"/>
        <v>39410.649664559314</v>
      </c>
      <c r="O111" s="54">
        <f t="shared" ref="O111" si="55">IF(N111&lt;&gt;0,+I111-N111,0)</f>
        <v>0</v>
      </c>
      <c r="P111" s="54">
        <f t="shared" ref="P111" si="56">+O111-M111</f>
        <v>0</v>
      </c>
    </row>
    <row r="112" spans="1:16" ht="12.5">
      <c r="B112" s="7" t="str">
        <f t="shared" si="44"/>
        <v/>
      </c>
      <c r="C112" s="50">
        <f>IF(D93="","-",+C111+1)</f>
        <v>2019</v>
      </c>
      <c r="D112" s="349">
        <v>291335</v>
      </c>
      <c r="E112" s="352">
        <v>9457</v>
      </c>
      <c r="F112" s="351">
        <v>281878</v>
      </c>
      <c r="G112" s="351">
        <v>286606.5</v>
      </c>
      <c r="H112" s="352">
        <v>39010.150115878176</v>
      </c>
      <c r="I112" s="353">
        <v>39010.150115878176</v>
      </c>
      <c r="J112" s="54">
        <f t="shared" si="42"/>
        <v>0</v>
      </c>
      <c r="K112" s="54"/>
      <c r="L112" s="379">
        <f t="shared" si="52"/>
        <v>39010.150115878176</v>
      </c>
      <c r="M112" s="380">
        <f t="shared" ref="M112:M113" si="57">IF(L112&lt;&gt;0,+H112-L112,0)</f>
        <v>0</v>
      </c>
      <c r="N112" s="379">
        <f t="shared" si="53"/>
        <v>39010.150115878176</v>
      </c>
      <c r="O112" s="54">
        <f t="shared" si="48"/>
        <v>0</v>
      </c>
      <c r="P112" s="54">
        <f t="shared" si="43"/>
        <v>0</v>
      </c>
    </row>
    <row r="113" spans="2:16" ht="12.5">
      <c r="B113" s="7" t="str">
        <f t="shared" si="44"/>
        <v/>
      </c>
      <c r="C113" s="50">
        <f>IF(D93="","-",+C112+1)</f>
        <v>2020</v>
      </c>
      <c r="D113" s="349">
        <v>281878</v>
      </c>
      <c r="E113" s="352">
        <v>9017</v>
      </c>
      <c r="F113" s="351">
        <v>272861</v>
      </c>
      <c r="G113" s="351">
        <v>277369.5</v>
      </c>
      <c r="H113" s="352">
        <v>40996.940785437022</v>
      </c>
      <c r="I113" s="353">
        <v>40996.940785437022</v>
      </c>
      <c r="J113" s="54">
        <f t="shared" si="42"/>
        <v>0</v>
      </c>
      <c r="K113" s="54"/>
      <c r="L113" s="379">
        <f t="shared" si="52"/>
        <v>40996.940785437022</v>
      </c>
      <c r="M113" s="380">
        <f t="shared" si="57"/>
        <v>0</v>
      </c>
      <c r="N113" s="379">
        <f t="shared" si="53"/>
        <v>40996.940785437022</v>
      </c>
      <c r="O113" s="54">
        <f t="shared" si="48"/>
        <v>0</v>
      </c>
      <c r="P113" s="54">
        <f t="shared" si="43"/>
        <v>0</v>
      </c>
    </row>
    <row r="114" spans="2:16" ht="12.5">
      <c r="B114" s="7" t="str">
        <f t="shared" si="44"/>
        <v/>
      </c>
      <c r="C114" s="50">
        <f>IF(D93="","-",+C113+1)</f>
        <v>2021</v>
      </c>
      <c r="D114" s="349">
        <v>272861</v>
      </c>
      <c r="E114" s="352">
        <v>9457</v>
      </c>
      <c r="F114" s="351">
        <v>263404</v>
      </c>
      <c r="G114" s="351">
        <v>268132.5</v>
      </c>
      <c r="H114" s="352">
        <v>39968.546077508974</v>
      </c>
      <c r="I114" s="353">
        <v>39968.546077508974</v>
      </c>
      <c r="J114" s="54">
        <f t="shared" si="42"/>
        <v>0</v>
      </c>
      <c r="K114" s="54"/>
      <c r="L114" s="379">
        <f t="shared" ref="L114" si="58">H114</f>
        <v>39968.546077508974</v>
      </c>
      <c r="M114" s="380">
        <f t="shared" ref="M114" si="59">IF(L114&lt;&gt;0,+H114-L114,0)</f>
        <v>0</v>
      </c>
      <c r="N114" s="379">
        <f t="shared" ref="N114" si="60">I114</f>
        <v>39968.546077508974</v>
      </c>
      <c r="O114" s="54">
        <f t="shared" ref="O114" si="61">IF(N114&lt;&gt;0,+I114-N114,0)</f>
        <v>0</v>
      </c>
      <c r="P114" s="54">
        <f t="shared" ref="P114" si="62">+O114-M114</f>
        <v>0</v>
      </c>
    </row>
    <row r="115" spans="2:16" ht="12.5">
      <c r="B115" s="7" t="str">
        <f t="shared" si="44"/>
        <v/>
      </c>
      <c r="C115" s="450">
        <f>IF(D93="","-",+C114+1)</f>
        <v>2022</v>
      </c>
      <c r="D115" s="349">
        <v>263404</v>
      </c>
      <c r="E115" s="352">
        <v>9942</v>
      </c>
      <c r="F115" s="351">
        <v>253462</v>
      </c>
      <c r="G115" s="351">
        <v>258433</v>
      </c>
      <c r="H115" s="352">
        <v>38416.833530612799</v>
      </c>
      <c r="I115" s="353">
        <v>38416.833530612799</v>
      </c>
      <c r="J115" s="54">
        <f t="shared" si="42"/>
        <v>0</v>
      </c>
      <c r="K115" s="54"/>
      <c r="L115" s="379">
        <f t="shared" ref="L115:L116" si="63">H115</f>
        <v>38416.833530612799</v>
      </c>
      <c r="M115" s="380">
        <f t="shared" ref="M115:M116" si="64">IF(L115&lt;&gt;0,+H115-L115,0)</f>
        <v>0</v>
      </c>
      <c r="N115" s="379">
        <f t="shared" ref="N115:N116" si="65">I115</f>
        <v>38416.833530612799</v>
      </c>
      <c r="O115" s="54">
        <f t="shared" ref="O115:O116" si="66">IF(N115&lt;&gt;0,+I115-N115,0)</f>
        <v>0</v>
      </c>
      <c r="P115" s="54">
        <f t="shared" ref="P115:P116" si="67">+O115-M115</f>
        <v>0</v>
      </c>
    </row>
    <row r="116" spans="2:16" ht="12.5">
      <c r="B116" s="7" t="str">
        <f t="shared" si="44"/>
        <v/>
      </c>
      <c r="C116" s="50">
        <f>IF(D93="","-",+C115+1)</f>
        <v>2023</v>
      </c>
      <c r="D116" s="349">
        <v>253462</v>
      </c>
      <c r="E116" s="352">
        <v>10204</v>
      </c>
      <c r="F116" s="351">
        <v>243258</v>
      </c>
      <c r="G116" s="351">
        <v>248360</v>
      </c>
      <c r="H116" s="352">
        <v>38573.430896853468</v>
      </c>
      <c r="I116" s="353">
        <v>38573.430896853468</v>
      </c>
      <c r="J116" s="54">
        <f t="shared" si="42"/>
        <v>0</v>
      </c>
      <c r="K116" s="54"/>
      <c r="L116" s="379">
        <f t="shared" si="63"/>
        <v>38573.430896853468</v>
      </c>
      <c r="M116" s="380">
        <f t="shared" si="64"/>
        <v>0</v>
      </c>
      <c r="N116" s="379">
        <f t="shared" si="65"/>
        <v>38573.430896853468</v>
      </c>
      <c r="O116" s="54">
        <f t="shared" si="66"/>
        <v>0</v>
      </c>
      <c r="P116" s="54">
        <f t="shared" si="67"/>
        <v>0</v>
      </c>
    </row>
    <row r="117" spans="2:16" ht="12.5">
      <c r="B117" s="7" t="str">
        <f t="shared" si="44"/>
        <v/>
      </c>
      <c r="C117" s="50">
        <f>IF(D93="","-",+C116+1)</f>
        <v>2024</v>
      </c>
      <c r="D117" s="349">
        <v>243258</v>
      </c>
      <c r="E117" s="352">
        <v>10204</v>
      </c>
      <c r="F117" s="351">
        <v>233054</v>
      </c>
      <c r="G117" s="351">
        <v>238156</v>
      </c>
      <c r="H117" s="352">
        <v>42192.806640975934</v>
      </c>
      <c r="I117" s="353">
        <v>42192.806640975934</v>
      </c>
      <c r="J117" s="54">
        <f t="shared" si="42"/>
        <v>0</v>
      </c>
      <c r="K117" s="54"/>
      <c r="L117" s="379">
        <f t="shared" ref="L117" si="68">H117</f>
        <v>42192.806640975934</v>
      </c>
      <c r="M117" s="380">
        <f t="shared" ref="M117" si="69">IF(L117&lt;&gt;0,+H117-L117,0)</f>
        <v>0</v>
      </c>
      <c r="N117" s="379">
        <f t="shared" ref="N117" si="70">I117</f>
        <v>42192.806640975934</v>
      </c>
      <c r="O117" s="54">
        <f t="shared" ref="O117" si="71">IF(N117&lt;&gt;0,+I117-N117,0)</f>
        <v>0</v>
      </c>
      <c r="P117" s="54">
        <f t="shared" ref="P117" si="72">+O117-M117</f>
        <v>0</v>
      </c>
    </row>
    <row r="118" spans="2:16" ht="12.5">
      <c r="B118" s="7" t="str">
        <f t="shared" si="44"/>
        <v/>
      </c>
      <c r="C118" s="50">
        <f>IF(D93="","-",+C117+1)</f>
        <v>2025</v>
      </c>
      <c r="D118" s="12">
        <f>IF(F117+SUM(E$99:E117)=D$92,F117,D$92-SUM(E$99:E117))</f>
        <v>233054</v>
      </c>
      <c r="E118" s="355">
        <f>IF(+J96&lt;F117,J96,D118)</f>
        <v>10480</v>
      </c>
      <c r="F118" s="55">
        <f t="shared" ref="F118:F130" si="73">+D118-E118</f>
        <v>222574</v>
      </c>
      <c r="G118" s="55">
        <f t="shared" ref="G118:G130" si="74">+(F118+D118)/2</f>
        <v>227814</v>
      </c>
      <c r="H118" s="356">
        <f t="shared" ref="H118:H154" si="75">+J$94*G118+E118</f>
        <v>41079.682544665222</v>
      </c>
      <c r="I118" s="381">
        <f t="shared" ref="I118:I154" si="76">+J$95*G118+E118</f>
        <v>41079.682544665222</v>
      </c>
      <c r="J118" s="54">
        <f t="shared" si="42"/>
        <v>0</v>
      </c>
      <c r="K118" s="54"/>
      <c r="L118" s="115"/>
      <c r="M118" s="54">
        <f t="shared" si="46"/>
        <v>0</v>
      </c>
      <c r="N118" s="115"/>
      <c r="O118" s="54">
        <f t="shared" si="48"/>
        <v>0</v>
      </c>
      <c r="P118" s="54">
        <f t="shared" si="43"/>
        <v>0</v>
      </c>
    </row>
    <row r="119" spans="2:16" ht="12.5">
      <c r="B119" s="7" t="str">
        <f t="shared" si="44"/>
        <v/>
      </c>
      <c r="C119" s="50">
        <f>IF(D93="","-",+C118+1)</f>
        <v>2026</v>
      </c>
      <c r="D119" s="12">
        <f>IF(F118+SUM(E$99:E118)=D$92,F118,D$92-SUM(E$99:E118))</f>
        <v>222574</v>
      </c>
      <c r="E119" s="355">
        <f>IF(+J96&lt;F118,J96,D119)</f>
        <v>10480</v>
      </c>
      <c r="F119" s="55">
        <f t="shared" si="73"/>
        <v>212094</v>
      </c>
      <c r="G119" s="55">
        <f t="shared" si="74"/>
        <v>217334</v>
      </c>
      <c r="H119" s="356">
        <f t="shared" si="75"/>
        <v>39672.022466408001</v>
      </c>
      <c r="I119" s="381">
        <f t="shared" si="76"/>
        <v>39672.022466408001</v>
      </c>
      <c r="J119" s="54">
        <f t="shared" si="42"/>
        <v>0</v>
      </c>
      <c r="K119" s="54"/>
      <c r="L119" s="115"/>
      <c r="M119" s="54">
        <f t="shared" si="46"/>
        <v>0</v>
      </c>
      <c r="N119" s="115"/>
      <c r="O119" s="54">
        <f t="shared" si="48"/>
        <v>0</v>
      </c>
      <c r="P119" s="54">
        <f t="shared" si="43"/>
        <v>0</v>
      </c>
    </row>
    <row r="120" spans="2:16" ht="12.5">
      <c r="B120" s="7" t="str">
        <f t="shared" si="44"/>
        <v/>
      </c>
      <c r="C120" s="50">
        <f>IF(D93="","-",+C119+1)</f>
        <v>2027</v>
      </c>
      <c r="D120" s="12">
        <f>IF(F119+SUM(E$99:E119)=D$92,F119,D$92-SUM(E$99:E119))</f>
        <v>212094</v>
      </c>
      <c r="E120" s="355">
        <f>IF(+J96&lt;F119,J96,D120)</f>
        <v>10480</v>
      </c>
      <c r="F120" s="55">
        <f t="shared" si="73"/>
        <v>201614</v>
      </c>
      <c r="G120" s="55">
        <f t="shared" si="74"/>
        <v>206854</v>
      </c>
      <c r="H120" s="356">
        <f t="shared" si="75"/>
        <v>38264.362388150774</v>
      </c>
      <c r="I120" s="381">
        <f t="shared" si="76"/>
        <v>38264.362388150774</v>
      </c>
      <c r="J120" s="54">
        <f t="shared" si="42"/>
        <v>0</v>
      </c>
      <c r="K120" s="54"/>
      <c r="L120" s="115"/>
      <c r="M120" s="54">
        <f t="shared" si="46"/>
        <v>0</v>
      </c>
      <c r="N120" s="115"/>
      <c r="O120" s="54">
        <f t="shared" si="48"/>
        <v>0</v>
      </c>
      <c r="P120" s="54">
        <f t="shared" si="43"/>
        <v>0</v>
      </c>
    </row>
    <row r="121" spans="2:16" ht="12.5">
      <c r="B121" s="7" t="str">
        <f t="shared" si="44"/>
        <v/>
      </c>
      <c r="C121" s="50">
        <f>IF(D93="","-",+C120+1)</f>
        <v>2028</v>
      </c>
      <c r="D121" s="12">
        <f>IF(F120+SUM(E$99:E120)=D$92,F120,D$92-SUM(E$99:E120))</f>
        <v>201614</v>
      </c>
      <c r="E121" s="355">
        <f>IF(+J96&lt;F120,J96,D121)</f>
        <v>10480</v>
      </c>
      <c r="F121" s="55">
        <f t="shared" si="73"/>
        <v>191134</v>
      </c>
      <c r="G121" s="55">
        <f t="shared" si="74"/>
        <v>196374</v>
      </c>
      <c r="H121" s="356">
        <f t="shared" si="75"/>
        <v>36856.702309893546</v>
      </c>
      <c r="I121" s="381">
        <f t="shared" si="76"/>
        <v>36856.702309893546</v>
      </c>
      <c r="J121" s="54">
        <f t="shared" si="42"/>
        <v>0</v>
      </c>
      <c r="K121" s="54"/>
      <c r="L121" s="115"/>
      <c r="M121" s="54">
        <f t="shared" si="46"/>
        <v>0</v>
      </c>
      <c r="N121" s="115"/>
      <c r="O121" s="54">
        <f t="shared" si="48"/>
        <v>0</v>
      </c>
      <c r="P121" s="54">
        <f t="shared" si="43"/>
        <v>0</v>
      </c>
    </row>
    <row r="122" spans="2:16" ht="12.5">
      <c r="B122" s="7" t="str">
        <f t="shared" si="44"/>
        <v/>
      </c>
      <c r="C122" s="50">
        <f>IF(D93="","-",+C121+1)</f>
        <v>2029</v>
      </c>
      <c r="D122" s="12">
        <f>IF(F121+SUM(E$99:E121)=D$92,F121,D$92-SUM(E$99:E121))</f>
        <v>191134</v>
      </c>
      <c r="E122" s="355">
        <f>IF(+J96&lt;F121,J96,D122)</f>
        <v>10480</v>
      </c>
      <c r="F122" s="55">
        <f t="shared" si="73"/>
        <v>180654</v>
      </c>
      <c r="G122" s="55">
        <f t="shared" si="74"/>
        <v>185894</v>
      </c>
      <c r="H122" s="356">
        <f t="shared" si="75"/>
        <v>35449.042231636326</v>
      </c>
      <c r="I122" s="381">
        <f t="shared" si="76"/>
        <v>35449.042231636326</v>
      </c>
      <c r="J122" s="54">
        <f t="shared" si="42"/>
        <v>0</v>
      </c>
      <c r="K122" s="54"/>
      <c r="L122" s="115"/>
      <c r="M122" s="54">
        <f t="shared" si="46"/>
        <v>0</v>
      </c>
      <c r="N122" s="115"/>
      <c r="O122" s="54">
        <f t="shared" si="48"/>
        <v>0</v>
      </c>
      <c r="P122" s="54">
        <f t="shared" si="43"/>
        <v>0</v>
      </c>
    </row>
    <row r="123" spans="2:16" ht="12.5">
      <c r="B123" s="7" t="str">
        <f t="shared" si="44"/>
        <v/>
      </c>
      <c r="C123" s="50">
        <f>IF(D93="","-",+C122+1)</f>
        <v>2030</v>
      </c>
      <c r="D123" s="12">
        <f>IF(F122+SUM(E$99:E122)=D$92,F122,D$92-SUM(E$99:E122))</f>
        <v>180654</v>
      </c>
      <c r="E123" s="355">
        <f>IF(+J96&lt;F122,J96,D123)</f>
        <v>10480</v>
      </c>
      <c r="F123" s="55">
        <f t="shared" si="73"/>
        <v>170174</v>
      </c>
      <c r="G123" s="55">
        <f t="shared" si="74"/>
        <v>175414</v>
      </c>
      <c r="H123" s="356">
        <f t="shared" si="75"/>
        <v>34041.382153379098</v>
      </c>
      <c r="I123" s="381">
        <f t="shared" si="76"/>
        <v>34041.382153379098</v>
      </c>
      <c r="J123" s="54">
        <f t="shared" si="42"/>
        <v>0</v>
      </c>
      <c r="K123" s="54"/>
      <c r="L123" s="115"/>
      <c r="M123" s="54">
        <f t="shared" si="46"/>
        <v>0</v>
      </c>
      <c r="N123" s="115"/>
      <c r="O123" s="54">
        <f t="shared" si="48"/>
        <v>0</v>
      </c>
      <c r="P123" s="54">
        <f t="shared" si="43"/>
        <v>0</v>
      </c>
    </row>
    <row r="124" spans="2:16" ht="12.5">
      <c r="B124" s="7" t="str">
        <f t="shared" si="44"/>
        <v/>
      </c>
      <c r="C124" s="50">
        <f>IF(D93="","-",+C123+1)</f>
        <v>2031</v>
      </c>
      <c r="D124" s="12">
        <f>IF(F123+SUM(E$99:E123)=D$92,F123,D$92-SUM(E$99:E123))</f>
        <v>170174</v>
      </c>
      <c r="E124" s="355">
        <f>IF(+J96&lt;F123,J96,D124)</f>
        <v>10480</v>
      </c>
      <c r="F124" s="55">
        <f t="shared" si="73"/>
        <v>159694</v>
      </c>
      <c r="G124" s="55">
        <f t="shared" si="74"/>
        <v>164934</v>
      </c>
      <c r="H124" s="356">
        <f t="shared" si="75"/>
        <v>32633.722075121874</v>
      </c>
      <c r="I124" s="381">
        <f t="shared" si="76"/>
        <v>32633.722075121874</v>
      </c>
      <c r="J124" s="54">
        <f t="shared" si="42"/>
        <v>0</v>
      </c>
      <c r="K124" s="54"/>
      <c r="L124" s="115"/>
      <c r="M124" s="54">
        <f t="shared" si="46"/>
        <v>0</v>
      </c>
      <c r="N124" s="115"/>
      <c r="O124" s="54">
        <f t="shared" si="48"/>
        <v>0</v>
      </c>
      <c r="P124" s="54">
        <f t="shared" si="43"/>
        <v>0</v>
      </c>
    </row>
    <row r="125" spans="2:16" ht="12.5">
      <c r="B125" s="7" t="str">
        <f t="shared" si="44"/>
        <v/>
      </c>
      <c r="C125" s="50">
        <f>IF(D93="","-",+C124+1)</f>
        <v>2032</v>
      </c>
      <c r="D125" s="12">
        <f>IF(F124+SUM(E$99:E124)=D$92,F124,D$92-SUM(E$99:E124))</f>
        <v>159694</v>
      </c>
      <c r="E125" s="355">
        <f>IF(+J96&lt;F124,J96,D125)</f>
        <v>10480</v>
      </c>
      <c r="F125" s="55">
        <f t="shared" si="73"/>
        <v>149214</v>
      </c>
      <c r="G125" s="55">
        <f t="shared" si="74"/>
        <v>154454</v>
      </c>
      <c r="H125" s="356">
        <f t="shared" si="75"/>
        <v>31226.061996864646</v>
      </c>
      <c r="I125" s="381">
        <f t="shared" si="76"/>
        <v>31226.061996864646</v>
      </c>
      <c r="J125" s="54">
        <f t="shared" si="42"/>
        <v>0</v>
      </c>
      <c r="K125" s="54"/>
      <c r="L125" s="115"/>
      <c r="M125" s="54">
        <f t="shared" si="46"/>
        <v>0</v>
      </c>
      <c r="N125" s="115"/>
      <c r="O125" s="54">
        <f t="shared" si="48"/>
        <v>0</v>
      </c>
      <c r="P125" s="54">
        <f t="shared" si="43"/>
        <v>0</v>
      </c>
    </row>
    <row r="126" spans="2:16" ht="12.5">
      <c r="B126" s="7" t="str">
        <f t="shared" si="44"/>
        <v/>
      </c>
      <c r="C126" s="50">
        <f>IF(D93="","-",+C125+1)</f>
        <v>2033</v>
      </c>
      <c r="D126" s="12">
        <f>IF(F125+SUM(E$99:E125)=D$92,F125,D$92-SUM(E$99:E125))</f>
        <v>149214</v>
      </c>
      <c r="E126" s="355">
        <f>IF(+J96&lt;F125,J96,D126)</f>
        <v>10480</v>
      </c>
      <c r="F126" s="55">
        <f t="shared" si="73"/>
        <v>138734</v>
      </c>
      <c r="G126" s="55">
        <f t="shared" si="74"/>
        <v>143974</v>
      </c>
      <c r="H126" s="356">
        <f t="shared" si="75"/>
        <v>29818.401918607422</v>
      </c>
      <c r="I126" s="381">
        <f t="shared" si="76"/>
        <v>29818.401918607422</v>
      </c>
      <c r="J126" s="54">
        <f t="shared" si="42"/>
        <v>0</v>
      </c>
      <c r="K126" s="54"/>
      <c r="L126" s="115"/>
      <c r="M126" s="54">
        <f t="shared" si="46"/>
        <v>0</v>
      </c>
      <c r="N126" s="115"/>
      <c r="O126" s="54">
        <f t="shared" si="48"/>
        <v>0</v>
      </c>
      <c r="P126" s="54">
        <f t="shared" si="43"/>
        <v>0</v>
      </c>
    </row>
    <row r="127" spans="2:16" ht="12.5">
      <c r="B127" s="7" t="str">
        <f t="shared" si="44"/>
        <v/>
      </c>
      <c r="C127" s="50">
        <f>IF(D93="","-",+C126+1)</f>
        <v>2034</v>
      </c>
      <c r="D127" s="12">
        <f>IF(F126+SUM(E$99:E126)=D$92,F126,D$92-SUM(E$99:E126))</f>
        <v>138734</v>
      </c>
      <c r="E127" s="355">
        <f>IF(+J96&lt;F126,J96,D127)</f>
        <v>10480</v>
      </c>
      <c r="F127" s="55">
        <f t="shared" si="73"/>
        <v>128254</v>
      </c>
      <c r="G127" s="55">
        <f t="shared" si="74"/>
        <v>133494</v>
      </c>
      <c r="H127" s="356">
        <f t="shared" si="75"/>
        <v>28410.741840350198</v>
      </c>
      <c r="I127" s="381">
        <f t="shared" si="76"/>
        <v>28410.741840350198</v>
      </c>
      <c r="J127" s="54">
        <f t="shared" si="42"/>
        <v>0</v>
      </c>
      <c r="K127" s="54"/>
      <c r="L127" s="115"/>
      <c r="M127" s="54">
        <f t="shared" si="46"/>
        <v>0</v>
      </c>
      <c r="N127" s="115"/>
      <c r="O127" s="54">
        <f t="shared" si="48"/>
        <v>0</v>
      </c>
      <c r="P127" s="54">
        <f t="shared" si="43"/>
        <v>0</v>
      </c>
    </row>
    <row r="128" spans="2:16" ht="12.5">
      <c r="B128" s="7" t="str">
        <f t="shared" si="44"/>
        <v/>
      </c>
      <c r="C128" s="50">
        <f>IF(D93="","-",+C127+1)</f>
        <v>2035</v>
      </c>
      <c r="D128" s="12">
        <f>IF(F127+SUM(E$99:E127)=D$92,F127,D$92-SUM(E$99:E127))</f>
        <v>128254</v>
      </c>
      <c r="E128" s="355">
        <f>IF(+J96&lt;F127,J96,D128)</f>
        <v>10480</v>
      </c>
      <c r="F128" s="55">
        <f t="shared" si="73"/>
        <v>117774</v>
      </c>
      <c r="G128" s="55">
        <f t="shared" si="74"/>
        <v>123014</v>
      </c>
      <c r="H128" s="356">
        <f t="shared" si="75"/>
        <v>27003.08176209297</v>
      </c>
      <c r="I128" s="381">
        <f t="shared" si="76"/>
        <v>27003.08176209297</v>
      </c>
      <c r="J128" s="54">
        <f t="shared" si="42"/>
        <v>0</v>
      </c>
      <c r="K128" s="54"/>
      <c r="L128" s="115"/>
      <c r="M128" s="54">
        <f t="shared" si="46"/>
        <v>0</v>
      </c>
      <c r="N128" s="115"/>
      <c r="O128" s="54">
        <f t="shared" si="48"/>
        <v>0</v>
      </c>
      <c r="P128" s="54">
        <f t="shared" si="43"/>
        <v>0</v>
      </c>
    </row>
    <row r="129" spans="2:16" ht="12.5">
      <c r="B129" s="7" t="str">
        <f t="shared" si="44"/>
        <v/>
      </c>
      <c r="C129" s="50">
        <f>IF(D93="","-",+C128+1)</f>
        <v>2036</v>
      </c>
      <c r="D129" s="12">
        <f>IF(F128+SUM(E$99:E128)=D$92,F128,D$92-SUM(E$99:E128))</f>
        <v>117774</v>
      </c>
      <c r="E129" s="355">
        <f>IF(+J96&lt;F128,J96,D129)</f>
        <v>10480</v>
      </c>
      <c r="F129" s="55">
        <f t="shared" si="73"/>
        <v>107294</v>
      </c>
      <c r="G129" s="55">
        <f t="shared" si="74"/>
        <v>112534</v>
      </c>
      <c r="H129" s="356">
        <f t="shared" si="75"/>
        <v>25595.421683835746</v>
      </c>
      <c r="I129" s="381">
        <f t="shared" si="76"/>
        <v>25595.421683835746</v>
      </c>
      <c r="J129" s="54">
        <f t="shared" si="42"/>
        <v>0</v>
      </c>
      <c r="K129" s="54"/>
      <c r="L129" s="115"/>
      <c r="M129" s="54">
        <f t="shared" si="46"/>
        <v>0</v>
      </c>
      <c r="N129" s="115"/>
      <c r="O129" s="54">
        <f t="shared" si="48"/>
        <v>0</v>
      </c>
      <c r="P129" s="54">
        <f t="shared" si="43"/>
        <v>0</v>
      </c>
    </row>
    <row r="130" spans="2:16" ht="12.5">
      <c r="B130" s="7" t="str">
        <f t="shared" si="44"/>
        <v/>
      </c>
      <c r="C130" s="50">
        <f>IF(D93="","-",+C129+1)</f>
        <v>2037</v>
      </c>
      <c r="D130" s="12">
        <f>IF(F129+SUM(E$99:E129)=D$92,F129,D$92-SUM(E$99:E129))</f>
        <v>107294</v>
      </c>
      <c r="E130" s="355">
        <f>IF(+J96&lt;F129,J96,D130)</f>
        <v>10480</v>
      </c>
      <c r="F130" s="55">
        <f t="shared" si="73"/>
        <v>96814</v>
      </c>
      <c r="G130" s="55">
        <f t="shared" si="74"/>
        <v>102054</v>
      </c>
      <c r="H130" s="356">
        <f t="shared" si="75"/>
        <v>24187.761605578518</v>
      </c>
      <c r="I130" s="381">
        <f t="shared" si="76"/>
        <v>24187.761605578518</v>
      </c>
      <c r="J130" s="54">
        <f t="shared" si="42"/>
        <v>0</v>
      </c>
      <c r="K130" s="54"/>
      <c r="L130" s="115"/>
      <c r="M130" s="54">
        <f t="shared" si="46"/>
        <v>0</v>
      </c>
      <c r="N130" s="115"/>
      <c r="O130" s="54">
        <f t="shared" si="48"/>
        <v>0</v>
      </c>
      <c r="P130" s="54">
        <f t="shared" si="43"/>
        <v>0</v>
      </c>
    </row>
    <row r="131" spans="2:16" ht="12.5">
      <c r="B131" s="7" t="str">
        <f t="shared" si="44"/>
        <v/>
      </c>
      <c r="C131" s="50">
        <f>IF(D93="","-",+C130+1)</f>
        <v>2038</v>
      </c>
      <c r="D131" s="12">
        <f>IF(F130+SUM(E$99:E130)=D$92,F130,D$92-SUM(E$99:E130))</f>
        <v>96814</v>
      </c>
      <c r="E131" s="355">
        <f>IF(+J96&lt;F130,J96,D131)</f>
        <v>10480</v>
      </c>
      <c r="F131" s="55">
        <f t="shared" ref="F131:F154" si="77">+D131-E131</f>
        <v>86334</v>
      </c>
      <c r="G131" s="55">
        <f t="shared" ref="G131:G154" si="78">+(F131+D131)/2</f>
        <v>91574</v>
      </c>
      <c r="H131" s="356">
        <f t="shared" si="75"/>
        <v>22780.101527321294</v>
      </c>
      <c r="I131" s="381">
        <f t="shared" si="76"/>
        <v>22780.101527321294</v>
      </c>
      <c r="J131" s="54">
        <f t="shared" ref="J131:J154" si="79">+I131-H131</f>
        <v>0</v>
      </c>
      <c r="K131" s="54"/>
      <c r="L131" s="115"/>
      <c r="M131" s="54">
        <f t="shared" si="46"/>
        <v>0</v>
      </c>
      <c r="N131" s="115"/>
      <c r="O131" s="54">
        <f t="shared" si="48"/>
        <v>0</v>
      </c>
      <c r="P131" s="54">
        <f t="shared" ref="P131:P154" si="80">+O131-M131</f>
        <v>0</v>
      </c>
    </row>
    <row r="132" spans="2:16" ht="12.5">
      <c r="B132" s="7" t="str">
        <f t="shared" si="44"/>
        <v/>
      </c>
      <c r="C132" s="50">
        <f>IF(D93="","-",+C131+1)</f>
        <v>2039</v>
      </c>
      <c r="D132" s="12">
        <f>IF(F131+SUM(E$99:E131)=D$92,F131,D$92-SUM(E$99:E131))</f>
        <v>86334</v>
      </c>
      <c r="E132" s="355">
        <f>IF(+J96&lt;F131,J96,D132)</f>
        <v>10480</v>
      </c>
      <c r="F132" s="55">
        <f t="shared" si="77"/>
        <v>75854</v>
      </c>
      <c r="G132" s="55">
        <f t="shared" si="78"/>
        <v>81094</v>
      </c>
      <c r="H132" s="356">
        <f t="shared" si="75"/>
        <v>21372.44144906407</v>
      </c>
      <c r="I132" s="381">
        <f t="shared" si="76"/>
        <v>21372.44144906407</v>
      </c>
      <c r="J132" s="54">
        <f t="shared" si="79"/>
        <v>0</v>
      </c>
      <c r="K132" s="54"/>
      <c r="L132" s="115"/>
      <c r="M132" s="54">
        <f t="shared" si="46"/>
        <v>0</v>
      </c>
      <c r="N132" s="115"/>
      <c r="O132" s="54">
        <f t="shared" si="48"/>
        <v>0</v>
      </c>
      <c r="P132" s="54">
        <f t="shared" si="80"/>
        <v>0</v>
      </c>
    </row>
    <row r="133" spans="2:16" ht="12.5">
      <c r="B133" s="7" t="str">
        <f t="shared" si="44"/>
        <v/>
      </c>
      <c r="C133" s="50">
        <f>IF(D93="","-",+C132+1)</f>
        <v>2040</v>
      </c>
      <c r="D133" s="12">
        <f>IF(F132+SUM(E$99:E132)=D$92,F132,D$92-SUM(E$99:E132))</f>
        <v>75854</v>
      </c>
      <c r="E133" s="355">
        <f>IF(+J96&lt;F132,J96,D133)</f>
        <v>10480</v>
      </c>
      <c r="F133" s="55">
        <f t="shared" si="77"/>
        <v>65374</v>
      </c>
      <c r="G133" s="55">
        <f t="shared" si="78"/>
        <v>70614</v>
      </c>
      <c r="H133" s="356">
        <f t="shared" si="75"/>
        <v>19964.781370806842</v>
      </c>
      <c r="I133" s="381">
        <f t="shared" si="76"/>
        <v>19964.781370806842</v>
      </c>
      <c r="J133" s="54">
        <f t="shared" si="79"/>
        <v>0</v>
      </c>
      <c r="K133" s="54"/>
      <c r="L133" s="115"/>
      <c r="M133" s="54">
        <f t="shared" si="46"/>
        <v>0</v>
      </c>
      <c r="N133" s="115"/>
      <c r="O133" s="54">
        <f t="shared" si="48"/>
        <v>0</v>
      </c>
      <c r="P133" s="54">
        <f t="shared" si="80"/>
        <v>0</v>
      </c>
    </row>
    <row r="134" spans="2:16" ht="12.5">
      <c r="B134" s="7" t="str">
        <f t="shared" si="44"/>
        <v/>
      </c>
      <c r="C134" s="50">
        <f>IF(D93="","-",+C133+1)</f>
        <v>2041</v>
      </c>
      <c r="D134" s="12">
        <f>IF(F133+SUM(E$99:E133)=D$92,F133,D$92-SUM(E$99:E133))</f>
        <v>65374</v>
      </c>
      <c r="E134" s="355">
        <f>IF(+J96&lt;F133,J96,D134)</f>
        <v>10480</v>
      </c>
      <c r="F134" s="55">
        <f t="shared" si="77"/>
        <v>54894</v>
      </c>
      <c r="G134" s="55">
        <f t="shared" si="78"/>
        <v>60134</v>
      </c>
      <c r="H134" s="356">
        <f t="shared" si="75"/>
        <v>18557.121292549618</v>
      </c>
      <c r="I134" s="381">
        <f t="shared" si="76"/>
        <v>18557.121292549618</v>
      </c>
      <c r="J134" s="54">
        <f t="shared" si="79"/>
        <v>0</v>
      </c>
      <c r="K134" s="54"/>
      <c r="L134" s="115"/>
      <c r="M134" s="54">
        <f t="shared" ref="M134:M154" si="81">IF(L134&lt;&gt;0,+H134-L134,0)</f>
        <v>0</v>
      </c>
      <c r="N134" s="115"/>
      <c r="O134" s="54">
        <f t="shared" ref="O134:O154" si="82">IF(N134&lt;&gt;0,+I134-N134,0)</f>
        <v>0</v>
      </c>
      <c r="P134" s="54">
        <f t="shared" si="80"/>
        <v>0</v>
      </c>
    </row>
    <row r="135" spans="2:16" ht="12.5">
      <c r="B135" s="7" t="str">
        <f t="shared" si="44"/>
        <v/>
      </c>
      <c r="C135" s="50">
        <f>IF(D93="","-",+C134+1)</f>
        <v>2042</v>
      </c>
      <c r="D135" s="12">
        <f>IF(F134+SUM(E$99:E134)=D$92,F134,D$92-SUM(E$99:E134))</f>
        <v>54894</v>
      </c>
      <c r="E135" s="355">
        <f>IF(+J96&lt;F134,J96,D135)</f>
        <v>10480</v>
      </c>
      <c r="F135" s="55">
        <f t="shared" si="77"/>
        <v>44414</v>
      </c>
      <c r="G135" s="55">
        <f t="shared" si="78"/>
        <v>49654</v>
      </c>
      <c r="H135" s="356">
        <f t="shared" si="75"/>
        <v>17149.461214292394</v>
      </c>
      <c r="I135" s="381">
        <f t="shared" si="76"/>
        <v>17149.461214292394</v>
      </c>
      <c r="J135" s="54">
        <f t="shared" si="79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0"/>
        <v>0</v>
      </c>
    </row>
    <row r="136" spans="2:16" ht="12.5">
      <c r="B136" s="7" t="str">
        <f t="shared" si="44"/>
        <v/>
      </c>
      <c r="C136" s="50">
        <f>IF(D93="","-",+C135+1)</f>
        <v>2043</v>
      </c>
      <c r="D136" s="12">
        <f>IF(F135+SUM(E$99:E135)=D$92,F135,D$92-SUM(E$99:E135))</f>
        <v>44414</v>
      </c>
      <c r="E136" s="355">
        <f>IF(+J96&lt;F135,J96,D136)</f>
        <v>10480</v>
      </c>
      <c r="F136" s="55">
        <f t="shared" si="77"/>
        <v>33934</v>
      </c>
      <c r="G136" s="55">
        <f t="shared" si="78"/>
        <v>39174</v>
      </c>
      <c r="H136" s="356">
        <f t="shared" si="75"/>
        <v>15741.801136035167</v>
      </c>
      <c r="I136" s="381">
        <f t="shared" si="76"/>
        <v>15741.801136035167</v>
      </c>
      <c r="J136" s="54">
        <f t="shared" si="79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0"/>
        <v>0</v>
      </c>
    </row>
    <row r="137" spans="2:16" ht="12.5">
      <c r="B137" s="7" t="str">
        <f t="shared" si="44"/>
        <v/>
      </c>
      <c r="C137" s="50">
        <f>IF(D93="","-",+C136+1)</f>
        <v>2044</v>
      </c>
      <c r="D137" s="12">
        <f>IF(F136+SUM(E$99:E136)=D$92,F136,D$92-SUM(E$99:E136))</f>
        <v>33934</v>
      </c>
      <c r="E137" s="355">
        <f>IF(+J96&lt;F136,J96,D137)</f>
        <v>10480</v>
      </c>
      <c r="F137" s="55">
        <f t="shared" si="77"/>
        <v>23454</v>
      </c>
      <c r="G137" s="55">
        <f t="shared" si="78"/>
        <v>28694</v>
      </c>
      <c r="H137" s="356">
        <f t="shared" si="75"/>
        <v>14334.141057777942</v>
      </c>
      <c r="I137" s="381">
        <f t="shared" si="76"/>
        <v>14334.141057777942</v>
      </c>
      <c r="J137" s="54">
        <f t="shared" si="79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0"/>
        <v>0</v>
      </c>
    </row>
    <row r="138" spans="2:16" ht="12.5">
      <c r="B138" s="7" t="str">
        <f t="shared" si="44"/>
        <v/>
      </c>
      <c r="C138" s="50">
        <f>IF(D93="","-",+C137+1)</f>
        <v>2045</v>
      </c>
      <c r="D138" s="12">
        <f>IF(F137+SUM(E$99:E137)=D$92,F137,D$92-SUM(E$99:E137))</f>
        <v>23454</v>
      </c>
      <c r="E138" s="355">
        <f>IF(+J96&lt;F137,J96,D138)</f>
        <v>10480</v>
      </c>
      <c r="F138" s="55">
        <f t="shared" si="77"/>
        <v>12974</v>
      </c>
      <c r="G138" s="55">
        <f t="shared" si="78"/>
        <v>18214</v>
      </c>
      <c r="H138" s="356">
        <f t="shared" si="75"/>
        <v>12926.480979520717</v>
      </c>
      <c r="I138" s="381">
        <f t="shared" si="76"/>
        <v>12926.480979520717</v>
      </c>
      <c r="J138" s="54">
        <f t="shared" si="79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0"/>
        <v>0</v>
      </c>
    </row>
    <row r="139" spans="2:16" ht="12.5">
      <c r="B139" s="7" t="str">
        <f t="shared" si="44"/>
        <v/>
      </c>
      <c r="C139" s="50">
        <f>IF(D93="","-",+C138+1)</f>
        <v>2046</v>
      </c>
      <c r="D139" s="12">
        <f>IF(F138+SUM(E$99:E138)=D$92,F138,D$92-SUM(E$99:E138))</f>
        <v>12974</v>
      </c>
      <c r="E139" s="355">
        <f>IF(+J96&lt;F138,J96,D139)</f>
        <v>10480</v>
      </c>
      <c r="F139" s="55">
        <f t="shared" si="77"/>
        <v>2494</v>
      </c>
      <c r="G139" s="55">
        <f t="shared" si="78"/>
        <v>7734</v>
      </c>
      <c r="H139" s="356">
        <f t="shared" si="75"/>
        <v>11518.820901263491</v>
      </c>
      <c r="I139" s="381">
        <f t="shared" si="76"/>
        <v>11518.820901263491</v>
      </c>
      <c r="J139" s="54">
        <f t="shared" si="79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0"/>
        <v>0</v>
      </c>
    </row>
    <row r="140" spans="2:16" ht="12.5">
      <c r="B140" s="7" t="str">
        <f t="shared" si="44"/>
        <v/>
      </c>
      <c r="C140" s="50">
        <f>IF(D93="","-",+C139+1)</f>
        <v>2047</v>
      </c>
      <c r="D140" s="12">
        <f>IF(F139+SUM(E$99:E139)=D$92,F139,D$92-SUM(E$99:E139))</f>
        <v>2494</v>
      </c>
      <c r="E140" s="355">
        <f>IF(+J96&lt;F139,J96,D140)</f>
        <v>2494</v>
      </c>
      <c r="F140" s="55">
        <f t="shared" si="77"/>
        <v>0</v>
      </c>
      <c r="G140" s="55">
        <f t="shared" si="78"/>
        <v>1247</v>
      </c>
      <c r="H140" s="356">
        <f t="shared" si="75"/>
        <v>2661.4954310674389</v>
      </c>
      <c r="I140" s="381">
        <f t="shared" si="76"/>
        <v>2661.4954310674389</v>
      </c>
      <c r="J140" s="54">
        <f t="shared" si="79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0"/>
        <v>0</v>
      </c>
    </row>
    <row r="141" spans="2:16" ht="12.5">
      <c r="B141" s="7" t="str">
        <f t="shared" si="44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7"/>
        <v>0</v>
      </c>
      <c r="G141" s="55">
        <f t="shared" si="78"/>
        <v>0</v>
      </c>
      <c r="H141" s="356">
        <f t="shared" si="75"/>
        <v>0</v>
      </c>
      <c r="I141" s="381">
        <f t="shared" si="76"/>
        <v>0</v>
      </c>
      <c r="J141" s="54">
        <f t="shared" si="79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0"/>
        <v>0</v>
      </c>
    </row>
    <row r="142" spans="2:16" ht="12.5">
      <c r="B142" s="7" t="str">
        <f t="shared" si="44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7"/>
        <v>0</v>
      </c>
      <c r="G142" s="55">
        <f t="shared" si="78"/>
        <v>0</v>
      </c>
      <c r="H142" s="356">
        <f t="shared" si="75"/>
        <v>0</v>
      </c>
      <c r="I142" s="381">
        <f t="shared" si="76"/>
        <v>0</v>
      </c>
      <c r="J142" s="54">
        <f t="shared" si="79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0"/>
        <v>0</v>
      </c>
    </row>
    <row r="143" spans="2:16" ht="12.5">
      <c r="B143" s="7" t="str">
        <f t="shared" si="44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7"/>
        <v>0</v>
      </c>
      <c r="G143" s="55">
        <f t="shared" si="78"/>
        <v>0</v>
      </c>
      <c r="H143" s="356">
        <f t="shared" si="75"/>
        <v>0</v>
      </c>
      <c r="I143" s="381">
        <f t="shared" si="76"/>
        <v>0</v>
      </c>
      <c r="J143" s="54">
        <f t="shared" si="79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0"/>
        <v>0</v>
      </c>
    </row>
    <row r="144" spans="2:16" ht="12.5">
      <c r="B144" s="7" t="str">
        <f t="shared" si="44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7"/>
        <v>0</v>
      </c>
      <c r="G144" s="55">
        <f t="shared" si="78"/>
        <v>0</v>
      </c>
      <c r="H144" s="356">
        <f t="shared" si="75"/>
        <v>0</v>
      </c>
      <c r="I144" s="381">
        <f t="shared" si="76"/>
        <v>0</v>
      </c>
      <c r="J144" s="54">
        <f t="shared" si="79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0"/>
        <v>0</v>
      </c>
    </row>
    <row r="145" spans="2:16" ht="12.5">
      <c r="B145" s="7" t="str">
        <f t="shared" si="44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7"/>
        <v>0</v>
      </c>
      <c r="G145" s="55">
        <f t="shared" si="78"/>
        <v>0</v>
      </c>
      <c r="H145" s="356">
        <f t="shared" si="75"/>
        <v>0</v>
      </c>
      <c r="I145" s="381">
        <f t="shared" si="76"/>
        <v>0</v>
      </c>
      <c r="J145" s="54">
        <f t="shared" si="79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0"/>
        <v>0</v>
      </c>
    </row>
    <row r="146" spans="2:16" ht="12.5">
      <c r="B146" s="7" t="str">
        <f t="shared" si="44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7"/>
        <v>0</v>
      </c>
      <c r="G146" s="55">
        <f t="shared" si="78"/>
        <v>0</v>
      </c>
      <c r="H146" s="356">
        <f t="shared" si="75"/>
        <v>0</v>
      </c>
      <c r="I146" s="381">
        <f t="shared" si="76"/>
        <v>0</v>
      </c>
      <c r="J146" s="54">
        <f t="shared" si="79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0"/>
        <v>0</v>
      </c>
    </row>
    <row r="147" spans="2:16" ht="12.5">
      <c r="B147" s="7" t="str">
        <f t="shared" si="44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7"/>
        <v>0</v>
      </c>
      <c r="G147" s="55">
        <f t="shared" si="78"/>
        <v>0</v>
      </c>
      <c r="H147" s="356">
        <f t="shared" si="75"/>
        <v>0</v>
      </c>
      <c r="I147" s="381">
        <f t="shared" si="76"/>
        <v>0</v>
      </c>
      <c r="J147" s="54">
        <f t="shared" si="79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0"/>
        <v>0</v>
      </c>
    </row>
    <row r="148" spans="2:16" ht="12.5">
      <c r="B148" s="7" t="str">
        <f t="shared" si="44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7"/>
        <v>0</v>
      </c>
      <c r="G148" s="55">
        <f t="shared" si="78"/>
        <v>0</v>
      </c>
      <c r="H148" s="356">
        <f t="shared" si="75"/>
        <v>0</v>
      </c>
      <c r="I148" s="381">
        <f t="shared" si="76"/>
        <v>0</v>
      </c>
      <c r="J148" s="54">
        <f t="shared" si="79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0"/>
        <v>0</v>
      </c>
    </row>
    <row r="149" spans="2:16" ht="12.5">
      <c r="B149" s="7" t="str">
        <f t="shared" si="44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7"/>
        <v>0</v>
      </c>
      <c r="G149" s="55">
        <f t="shared" si="78"/>
        <v>0</v>
      </c>
      <c r="H149" s="356">
        <f t="shared" si="75"/>
        <v>0</v>
      </c>
      <c r="I149" s="381">
        <f t="shared" si="76"/>
        <v>0</v>
      </c>
      <c r="J149" s="54">
        <f t="shared" si="79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0"/>
        <v>0</v>
      </c>
    </row>
    <row r="150" spans="2:16" ht="12.5">
      <c r="B150" s="7" t="str">
        <f t="shared" si="44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7"/>
        <v>0</v>
      </c>
      <c r="G150" s="55">
        <f t="shared" si="78"/>
        <v>0</v>
      </c>
      <c r="H150" s="356">
        <f t="shared" si="75"/>
        <v>0</v>
      </c>
      <c r="I150" s="381">
        <f t="shared" si="76"/>
        <v>0</v>
      </c>
      <c r="J150" s="54">
        <f t="shared" si="79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0"/>
        <v>0</v>
      </c>
    </row>
    <row r="151" spans="2:16" ht="12.5">
      <c r="B151" s="7" t="str">
        <f t="shared" si="44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7"/>
        <v>0</v>
      </c>
      <c r="G151" s="55">
        <f t="shared" si="78"/>
        <v>0</v>
      </c>
      <c r="H151" s="356">
        <f t="shared" si="75"/>
        <v>0</v>
      </c>
      <c r="I151" s="381">
        <f t="shared" si="76"/>
        <v>0</v>
      </c>
      <c r="J151" s="54">
        <f t="shared" si="79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0"/>
        <v>0</v>
      </c>
    </row>
    <row r="152" spans="2:16" ht="12.5">
      <c r="B152" s="7" t="str">
        <f t="shared" si="44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7"/>
        <v>0</v>
      </c>
      <c r="G152" s="55">
        <f t="shared" si="78"/>
        <v>0</v>
      </c>
      <c r="H152" s="356">
        <f t="shared" si="75"/>
        <v>0</v>
      </c>
      <c r="I152" s="381">
        <f t="shared" si="76"/>
        <v>0</v>
      </c>
      <c r="J152" s="54">
        <f t="shared" si="79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0"/>
        <v>0</v>
      </c>
    </row>
    <row r="153" spans="2:16" ht="12.5">
      <c r="B153" s="7" t="str">
        <f t="shared" si="44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7"/>
        <v>0</v>
      </c>
      <c r="G153" s="55">
        <f t="shared" si="78"/>
        <v>0</v>
      </c>
      <c r="H153" s="356">
        <f t="shared" si="75"/>
        <v>0</v>
      </c>
      <c r="I153" s="381">
        <f t="shared" si="76"/>
        <v>0</v>
      </c>
      <c r="J153" s="54">
        <f t="shared" si="79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0"/>
        <v>0</v>
      </c>
    </row>
    <row r="154" spans="2:16" ht="13" thickBot="1">
      <c r="B154" s="7" t="str">
        <f t="shared" si="44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7"/>
        <v>0</v>
      </c>
      <c r="G154" s="59">
        <f t="shared" si="78"/>
        <v>0</v>
      </c>
      <c r="H154" s="358">
        <f t="shared" si="75"/>
        <v>0</v>
      </c>
      <c r="I154" s="383">
        <f t="shared" si="76"/>
        <v>0</v>
      </c>
      <c r="J154" s="62">
        <f t="shared" si="79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0"/>
        <v>0</v>
      </c>
    </row>
    <row r="155" spans="2:16" ht="12.5">
      <c r="C155" s="12" t="s">
        <v>77</v>
      </c>
      <c r="D155" s="267"/>
      <c r="E155" s="267">
        <f>SUM(E99:E154)</f>
        <v>387742</v>
      </c>
      <c r="F155" s="267"/>
      <c r="G155" s="267"/>
      <c r="H155" s="267">
        <f>SUM(H99:H154)</f>
        <v>1488282.738431389</v>
      </c>
      <c r="I155" s="267">
        <f>SUM(I99:I154)</f>
        <v>1488282.738431389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ignoredErrors>
    <ignoredError sqref="M101 O10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V162"/>
  <sheetViews>
    <sheetView zoomScaleNormal="100" zoomScaleSheetLayoutView="75" workbookViewId="0">
      <selection activeCell="C13" sqref="C1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"&amp;COUNT(P.001:P.037!$P$3)</f>
        <v>PSO Project 6 of 37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7"/>
      <c r="K3" s="202"/>
      <c r="L3" s="202"/>
      <c r="M3" s="202"/>
      <c r="N3" s="202"/>
      <c r="O3" s="1"/>
      <c r="P3" s="92">
        <v>1</v>
      </c>
    </row>
    <row r="4" spans="1:16" ht="16" thickBot="1">
      <c r="C4" s="248"/>
      <c r="D4" s="2"/>
      <c r="E4" s="1"/>
      <c r="F4" s="1"/>
      <c r="G4" s="1"/>
      <c r="H4" s="202"/>
      <c r="I4" s="202"/>
      <c r="J4" s="267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6"/>
      <c r="H5" s="1" t="s">
        <v>45</v>
      </c>
      <c r="I5" s="1"/>
      <c r="J5" s="1"/>
      <c r="K5" s="17" t="s">
        <v>284</v>
      </c>
      <c r="L5" s="18"/>
      <c r="M5" s="19"/>
      <c r="N5" s="327">
        <f>VLOOKUP(I10,C17:I72,5)</f>
        <v>145425.95272149655</v>
      </c>
      <c r="P5" s="1"/>
    </row>
    <row r="6" spans="1:16" ht="15.5">
      <c r="C6" s="6"/>
      <c r="D6" s="2"/>
      <c r="E6" s="1"/>
      <c r="F6" s="1"/>
      <c r="G6" s="1"/>
      <c r="H6" s="328"/>
      <c r="I6" s="328"/>
      <c r="J6" s="329"/>
      <c r="K6" s="23" t="s">
        <v>285</v>
      </c>
      <c r="L6" s="330"/>
      <c r="M6" s="1"/>
      <c r="N6" s="331">
        <f>VLOOKUP(I10,C17:I72,6)</f>
        <v>145425.95272149655</v>
      </c>
      <c r="O6" s="1"/>
      <c r="P6" s="1"/>
    </row>
    <row r="7" spans="1:16" ht="13.5" thickBot="1">
      <c r="C7" s="26" t="s">
        <v>46</v>
      </c>
      <c r="D7" s="97" t="s">
        <v>84</v>
      </c>
      <c r="E7" s="1"/>
      <c r="F7" s="1"/>
      <c r="G7" s="1"/>
      <c r="H7" s="202"/>
      <c r="I7" s="202"/>
      <c r="J7" s="267"/>
      <c r="K7" s="333" t="s">
        <v>47</v>
      </c>
      <c r="L7" s="334"/>
      <c r="M7" s="334"/>
      <c r="N7" s="33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85</v>
      </c>
      <c r="E9" s="404" t="s">
        <v>349</v>
      </c>
      <c r="F9" s="32"/>
      <c r="G9" s="452" t="s">
        <v>392</v>
      </c>
      <c r="H9" s="32"/>
      <c r="I9" s="33"/>
      <c r="J9" s="34"/>
      <c r="P9" s="1"/>
    </row>
    <row r="10" spans="1:16" ht="13">
      <c r="C10" s="128" t="s">
        <v>226</v>
      </c>
      <c r="D10" s="336">
        <v>1520502</v>
      </c>
      <c r="E10" s="1" t="s">
        <v>51</v>
      </c>
      <c r="G10" s="2"/>
      <c r="H10" s="2"/>
      <c r="I10" s="36">
        <f>+'PSO.WS.F.BPU.ATRR.Projected'!L19</f>
        <v>2026</v>
      </c>
      <c r="J10" s="34"/>
      <c r="K10" s="267" t="s">
        <v>52</v>
      </c>
      <c r="O10" s="1"/>
      <c r="P10" s="1"/>
    </row>
    <row r="11" spans="1:16" ht="12.5">
      <c r="C11" s="37" t="s">
        <v>53</v>
      </c>
      <c r="D11" s="38">
        <v>2008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6">
        <v>4</v>
      </c>
      <c r="E12" s="37" t="s">
        <v>56</v>
      </c>
      <c r="F12" s="2"/>
      <c r="I12" s="41">
        <f>'PSO.WS.F.BPU.ATRR.Projected'!$F$81</f>
        <v>0.11740270569314994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0.11740270569314994</v>
      </c>
      <c r="J13" s="8"/>
      <c r="K13" s="267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7">
        <f>IF(D10=0,0,D10/D13)</f>
        <v>40013.210526315786</v>
      </c>
      <c r="J14" s="267"/>
      <c r="K14" s="267"/>
      <c r="L14" s="267"/>
      <c r="M14" s="267"/>
      <c r="N14" s="267"/>
      <c r="O14" s="1"/>
      <c r="P14" s="1"/>
    </row>
    <row r="15" spans="1:16" ht="39">
      <c r="C15" s="43" t="s">
        <v>50</v>
      </c>
      <c r="D15" s="338" t="s">
        <v>64</v>
      </c>
      <c r="E15" s="338" t="s">
        <v>65</v>
      </c>
      <c r="F15" s="338" t="s">
        <v>66</v>
      </c>
      <c r="G15" s="339" t="s">
        <v>286</v>
      </c>
      <c r="H15" s="340" t="s">
        <v>287</v>
      </c>
      <c r="I15" s="43" t="s">
        <v>67</v>
      </c>
      <c r="J15" s="45"/>
      <c r="K15" s="341" t="s">
        <v>205</v>
      </c>
      <c r="L15" s="342" t="s">
        <v>68</v>
      </c>
      <c r="M15" s="341" t="s">
        <v>205</v>
      </c>
      <c r="N15" s="342" t="s">
        <v>68</v>
      </c>
      <c r="O15" s="343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4" t="s">
        <v>73</v>
      </c>
      <c r="H16" s="345" t="s">
        <v>74</v>
      </c>
      <c r="I16" s="47" t="s">
        <v>104</v>
      </c>
      <c r="J16" s="45" t="s">
        <v>75</v>
      </c>
      <c r="K16" s="346" t="s">
        <v>76</v>
      </c>
      <c r="L16" s="347" t="s">
        <v>76</v>
      </c>
      <c r="M16" s="346" t="s">
        <v>105</v>
      </c>
      <c r="N16" s="348" t="s">
        <v>105</v>
      </c>
      <c r="O16" s="346" t="s">
        <v>105</v>
      </c>
      <c r="P16" s="1"/>
    </row>
    <row r="17" spans="2:16" ht="12.5">
      <c r="B17" s="7"/>
      <c r="C17" s="50">
        <f>IF(D11= "","-",D11)</f>
        <v>2008</v>
      </c>
      <c r="D17" s="349">
        <v>1520473</v>
      </c>
      <c r="E17" s="350">
        <v>19125</v>
      </c>
      <c r="F17" s="349">
        <v>1501348</v>
      </c>
      <c r="G17" s="350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351">
        <v>1501348</v>
      </c>
      <c r="E18" s="352">
        <v>28688</v>
      </c>
      <c r="F18" s="351">
        <v>1472660</v>
      </c>
      <c r="G18" s="352">
        <v>254309</v>
      </c>
      <c r="H18" s="353">
        <v>254309</v>
      </c>
      <c r="I18" s="52">
        <f t="shared" si="0"/>
        <v>0</v>
      </c>
      <c r="J18" s="52"/>
      <c r="K18" s="324">
        <v>254309</v>
      </c>
      <c r="L18" s="54">
        <f t="shared" si="1"/>
        <v>0</v>
      </c>
      <c r="M18" s="324">
        <v>254309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351">
        <v>1472689</v>
      </c>
      <c r="E19" s="352">
        <v>27151.821428571428</v>
      </c>
      <c r="F19" s="351">
        <v>1445537.1785714286</v>
      </c>
      <c r="G19" s="352">
        <v>235737.79751815079</v>
      </c>
      <c r="H19" s="353">
        <v>235737.79751815079</v>
      </c>
      <c r="I19" s="52">
        <f t="shared" si="0"/>
        <v>0</v>
      </c>
      <c r="J19" s="52"/>
      <c r="K19" s="379">
        <f t="shared" ref="K19:K24" si="4">G19</f>
        <v>235737.79751815079</v>
      </c>
      <c r="L19" s="380">
        <f t="shared" si="1"/>
        <v>0</v>
      </c>
      <c r="M19" s="379">
        <f t="shared" ref="M19:M24" si="5">H19</f>
        <v>235737.79751815079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351">
        <v>1445537.1785714286</v>
      </c>
      <c r="E20" s="352">
        <v>29813.764705882353</v>
      </c>
      <c r="F20" s="351">
        <v>1415723.4138655462</v>
      </c>
      <c r="G20" s="352">
        <v>251435.83921239444</v>
      </c>
      <c r="H20" s="353">
        <v>251435.83921239444</v>
      </c>
      <c r="I20" s="52">
        <f t="shared" si="0"/>
        <v>0</v>
      </c>
      <c r="J20" s="52"/>
      <c r="K20" s="324">
        <f t="shared" si="4"/>
        <v>251435.83921239444</v>
      </c>
      <c r="L20" s="54">
        <f t="shared" si="1"/>
        <v>0</v>
      </c>
      <c r="M20" s="324">
        <f t="shared" si="5"/>
        <v>251435.83921239444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IF(D11="","-",+C20+1)</f>
        <v>2012</v>
      </c>
      <c r="D21" s="351">
        <v>1415723.4138655462</v>
      </c>
      <c r="E21" s="352">
        <v>29240.423076923078</v>
      </c>
      <c r="F21" s="351">
        <v>1386482.9907886232</v>
      </c>
      <c r="G21" s="352">
        <v>222248.1918516063</v>
      </c>
      <c r="H21" s="353">
        <v>222248.1918516063</v>
      </c>
      <c r="I21" s="52">
        <f t="shared" si="0"/>
        <v>0</v>
      </c>
      <c r="J21" s="52"/>
      <c r="K21" s="324">
        <f t="shared" si="4"/>
        <v>222248.1918516063</v>
      </c>
      <c r="L21" s="54">
        <f t="shared" si="1"/>
        <v>0</v>
      </c>
      <c r="M21" s="324">
        <f t="shared" si="5"/>
        <v>222248.1918516063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351">
        <v>1386482.9907886232</v>
      </c>
      <c r="E22" s="352">
        <v>29240.423076923078</v>
      </c>
      <c r="F22" s="351">
        <v>1357242.5677117002</v>
      </c>
      <c r="G22" s="352">
        <v>223063.83719618269</v>
      </c>
      <c r="H22" s="353">
        <v>223063.83719618269</v>
      </c>
      <c r="I22" s="52">
        <v>0</v>
      </c>
      <c r="J22" s="52"/>
      <c r="K22" s="324">
        <f t="shared" si="4"/>
        <v>223063.83719618269</v>
      </c>
      <c r="L22" s="54">
        <f t="shared" ref="L22:L27" si="7">IF(K22&lt;&gt;0,+G22-K22,0)</f>
        <v>0</v>
      </c>
      <c r="M22" s="324">
        <f t="shared" si="5"/>
        <v>223063.83719618269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351">
        <v>1357242.5677117002</v>
      </c>
      <c r="E23" s="352">
        <v>29240.423076923078</v>
      </c>
      <c r="F23" s="351">
        <v>1328002.1446347772</v>
      </c>
      <c r="G23" s="352">
        <v>212051.56179808528</v>
      </c>
      <c r="H23" s="353">
        <v>212051.56179808528</v>
      </c>
      <c r="I23" s="52">
        <v>0</v>
      </c>
      <c r="J23" s="52"/>
      <c r="K23" s="324">
        <f t="shared" si="4"/>
        <v>212051.56179808528</v>
      </c>
      <c r="L23" s="54">
        <f t="shared" si="7"/>
        <v>0</v>
      </c>
      <c r="M23" s="324">
        <f t="shared" si="5"/>
        <v>212051.56179808528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351">
        <v>1328002.1446347772</v>
      </c>
      <c r="E24" s="352">
        <v>29240.423076923078</v>
      </c>
      <c r="F24" s="351">
        <v>1298761.7215578542</v>
      </c>
      <c r="G24" s="352">
        <v>208302.85337289202</v>
      </c>
      <c r="H24" s="353">
        <v>208302.85337289202</v>
      </c>
      <c r="I24" s="52">
        <v>0</v>
      </c>
      <c r="J24" s="52"/>
      <c r="K24" s="324">
        <f t="shared" si="4"/>
        <v>208302.85337289202</v>
      </c>
      <c r="L24" s="54">
        <f t="shared" si="7"/>
        <v>0</v>
      </c>
      <c r="M24" s="324">
        <f t="shared" si="5"/>
        <v>208302.85337289202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351">
        <v>1298761.7215578542</v>
      </c>
      <c r="E25" s="352">
        <v>29240.423076923078</v>
      </c>
      <c r="F25" s="351">
        <v>1269521.2984809312</v>
      </c>
      <c r="G25" s="352">
        <v>195750.37197477801</v>
      </c>
      <c r="H25" s="353">
        <v>195750.37197477801</v>
      </c>
      <c r="I25" s="52">
        <f t="shared" si="0"/>
        <v>0</v>
      </c>
      <c r="J25" s="52"/>
      <c r="K25" s="324">
        <f t="shared" ref="K25:K30" si="10">G25</f>
        <v>195750.37197477801</v>
      </c>
      <c r="L25" s="54">
        <f t="shared" si="7"/>
        <v>0</v>
      </c>
      <c r="M25" s="324">
        <f t="shared" ref="M25:M30" si="11">H25</f>
        <v>195750.37197477801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351">
        <v>1269521.2984809312</v>
      </c>
      <c r="E26" s="352">
        <v>33054.391304347824</v>
      </c>
      <c r="F26" s="351">
        <v>1236466.9071765833</v>
      </c>
      <c r="G26" s="352">
        <v>190407.97943741584</v>
      </c>
      <c r="H26" s="353">
        <v>190407.97943741584</v>
      </c>
      <c r="I26" s="52">
        <f t="shared" si="0"/>
        <v>0</v>
      </c>
      <c r="J26" s="52"/>
      <c r="K26" s="324">
        <f t="shared" si="10"/>
        <v>190407.97943741584</v>
      </c>
      <c r="L26" s="54">
        <f t="shared" si="7"/>
        <v>0</v>
      </c>
      <c r="M26" s="324">
        <f t="shared" si="11"/>
        <v>190407.97943741584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351">
        <v>1236466.9071765833</v>
      </c>
      <c r="E27" s="352">
        <v>33788.933333333334</v>
      </c>
      <c r="F27" s="351">
        <v>1202677.97384325</v>
      </c>
      <c r="G27" s="352">
        <v>179843.63692519162</v>
      </c>
      <c r="H27" s="353">
        <v>179843.63692519162</v>
      </c>
      <c r="I27" s="52">
        <f t="shared" si="0"/>
        <v>0</v>
      </c>
      <c r="J27" s="52"/>
      <c r="K27" s="324">
        <f t="shared" si="10"/>
        <v>179843.63692519162</v>
      </c>
      <c r="L27" s="54">
        <f t="shared" si="7"/>
        <v>0</v>
      </c>
      <c r="M27" s="324">
        <f t="shared" si="11"/>
        <v>179843.63692519162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351">
        <v>1202677.97384325</v>
      </c>
      <c r="E28" s="352">
        <v>38012.550000000003</v>
      </c>
      <c r="F28" s="351">
        <v>1164665.4238432499</v>
      </c>
      <c r="G28" s="352">
        <v>170177.34445508715</v>
      </c>
      <c r="H28" s="353">
        <v>170177.34445508715</v>
      </c>
      <c r="I28" s="52">
        <f t="shared" si="0"/>
        <v>0</v>
      </c>
      <c r="J28" s="52"/>
      <c r="K28" s="324">
        <f t="shared" si="10"/>
        <v>170177.34445508715</v>
      </c>
      <c r="L28" s="54">
        <f t="shared" ref="L28" si="12">IF(K28&lt;&gt;0,+G28-K28,0)</f>
        <v>0</v>
      </c>
      <c r="M28" s="324">
        <f t="shared" si="11"/>
        <v>170177.34445508715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 ht="12.5">
      <c r="B29" s="7" t="str">
        <f t="shared" si="6"/>
        <v>IU</v>
      </c>
      <c r="C29" s="50">
        <f>IF(D11="","-",+C28+1)</f>
        <v>2020</v>
      </c>
      <c r="D29" s="351">
        <v>1168889.0405099166</v>
      </c>
      <c r="E29" s="352">
        <v>36202.428571428572</v>
      </c>
      <c r="F29" s="351">
        <v>1132686.611938488</v>
      </c>
      <c r="G29" s="352">
        <v>160493.01101346352</v>
      </c>
      <c r="H29" s="353">
        <v>160493.01101346352</v>
      </c>
      <c r="I29" s="52">
        <f t="shared" si="0"/>
        <v>0</v>
      </c>
      <c r="J29" s="52"/>
      <c r="K29" s="324">
        <f t="shared" si="10"/>
        <v>160493.01101346352</v>
      </c>
      <c r="L29" s="54">
        <f t="shared" ref="L29" si="15">IF(K29&lt;&gt;0,+G29-K29,0)</f>
        <v>0</v>
      </c>
      <c r="M29" s="324">
        <f t="shared" si="11"/>
        <v>160493.01101346352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351">
        <v>1128462.995271821</v>
      </c>
      <c r="E30" s="352">
        <v>35360.511627906977</v>
      </c>
      <c r="F30" s="351">
        <v>1093102.4836439141</v>
      </c>
      <c r="G30" s="352">
        <v>153220.62710843381</v>
      </c>
      <c r="H30" s="353">
        <v>153220.62710843381</v>
      </c>
      <c r="I30" s="52">
        <f t="shared" si="0"/>
        <v>0</v>
      </c>
      <c r="J30" s="52"/>
      <c r="K30" s="324">
        <f t="shared" si="10"/>
        <v>153220.62710843381</v>
      </c>
      <c r="L30" s="54">
        <f t="shared" ref="L30" si="16">IF(K30&lt;&gt;0,+G30-K30,0)</f>
        <v>0</v>
      </c>
      <c r="M30" s="324">
        <f t="shared" si="11"/>
        <v>153220.62710843381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2022</v>
      </c>
      <c r="D31" s="351">
        <v>1093102.4836439141</v>
      </c>
      <c r="E31" s="352">
        <v>36202.428571428572</v>
      </c>
      <c r="F31" s="351">
        <v>1056900.0550724855</v>
      </c>
      <c r="G31" s="352">
        <v>150148.14020254629</v>
      </c>
      <c r="H31" s="353">
        <v>150148.14020254629</v>
      </c>
      <c r="I31" s="52">
        <f t="shared" si="0"/>
        <v>0</v>
      </c>
      <c r="J31" s="52"/>
      <c r="K31" s="324">
        <f t="shared" ref="K31" si="17">G31</f>
        <v>150148.14020254629</v>
      </c>
      <c r="L31" s="54">
        <f t="shared" ref="L31" si="18">IF(K31&lt;&gt;0,+G31-K31,0)</f>
        <v>0</v>
      </c>
      <c r="M31" s="324">
        <f t="shared" ref="M31" si="19">H31</f>
        <v>150148.14020254629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351">
        <v>1056900.0550724855</v>
      </c>
      <c r="E32" s="352">
        <v>38987.230769230766</v>
      </c>
      <c r="F32" s="351">
        <v>1017912.8243032547</v>
      </c>
      <c r="G32" s="352">
        <v>160484.23733816287</v>
      </c>
      <c r="H32" s="353">
        <v>160484.23733816287</v>
      </c>
      <c r="I32" s="52">
        <f t="shared" si="0"/>
        <v>0</v>
      </c>
      <c r="J32" s="52"/>
      <c r="K32" s="324">
        <f t="shared" ref="K32" si="20">G32</f>
        <v>160484.23733816287</v>
      </c>
      <c r="L32" s="54">
        <f t="shared" ref="L32" si="21">IF(K32&lt;&gt;0,+G32-K32,0)</f>
        <v>0</v>
      </c>
      <c r="M32" s="324">
        <f t="shared" ref="M32" si="22">H32</f>
        <v>160484.23733816287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 ht="12.5">
      <c r="B33" s="7" t="str">
        <f t="shared" si="6"/>
        <v/>
      </c>
      <c r="C33" s="450">
        <f>IF(D11="","-",+C32+1)</f>
        <v>2024</v>
      </c>
      <c r="D33" s="351">
        <v>1017912.8243032547</v>
      </c>
      <c r="E33" s="352">
        <v>40013.210526315786</v>
      </c>
      <c r="F33" s="351">
        <v>977899.61377693899</v>
      </c>
      <c r="G33" s="352">
        <v>151239.69603131246</v>
      </c>
      <c r="H33" s="353">
        <v>151239.69603131246</v>
      </c>
      <c r="I33" s="52">
        <f t="shared" si="0"/>
        <v>0</v>
      </c>
      <c r="J33" s="52"/>
      <c r="K33" s="324">
        <f t="shared" ref="K33" si="25">G33</f>
        <v>151239.69603131246</v>
      </c>
      <c r="L33" s="54">
        <f t="shared" ref="L33" si="26">IF(K33&lt;&gt;0,+G33-K33,0)</f>
        <v>0</v>
      </c>
      <c r="M33" s="324">
        <f t="shared" ref="M33" si="27">H33</f>
        <v>151239.69603131246</v>
      </c>
      <c r="N33" s="54">
        <f t="shared" ref="N33" si="28">IF(M33&lt;&gt;0,+H33-M33,0)</f>
        <v>0</v>
      </c>
      <c r="O33" s="54">
        <f t="shared" ref="O33" si="29">+N33-L33</f>
        <v>0</v>
      </c>
      <c r="P33" s="1"/>
    </row>
    <row r="34" spans="2:16" ht="13">
      <c r="B34" s="7" t="str">
        <f t="shared" si="6"/>
        <v/>
      </c>
      <c r="C34" s="449">
        <f>IF(D11="","-",+C33+1)</f>
        <v>2025</v>
      </c>
      <c r="D34" s="351">
        <v>977899.61377693899</v>
      </c>
      <c r="E34" s="352">
        <v>40013.210526315786</v>
      </c>
      <c r="F34" s="351">
        <v>937886.40325062326</v>
      </c>
      <c r="G34" s="352">
        <v>146563.19674666296</v>
      </c>
      <c r="H34" s="353">
        <v>146563.19674666296</v>
      </c>
      <c r="I34" s="52">
        <f t="shared" si="0"/>
        <v>0</v>
      </c>
      <c r="J34" s="52"/>
      <c r="K34" s="324">
        <f t="shared" ref="K34" si="30">G34</f>
        <v>146563.19674666296</v>
      </c>
      <c r="L34" s="54">
        <f t="shared" ref="L34" si="31">IF(K34&lt;&gt;0,+G34-K34,0)</f>
        <v>0</v>
      </c>
      <c r="M34" s="324">
        <f t="shared" ref="M34" si="32">H34</f>
        <v>146563.19674666296</v>
      </c>
      <c r="N34" s="54">
        <f t="shared" ref="N34" si="33">IF(M34&lt;&gt;0,+H34-M34,0)</f>
        <v>0</v>
      </c>
      <c r="O34" s="54">
        <f t="shared" ref="O34" si="34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937886.40325062326</v>
      </c>
      <c r="E35" s="354">
        <f>IF(+I14&lt;F34,I14,D35)</f>
        <v>40013.210526315786</v>
      </c>
      <c r="F35" s="55">
        <f t="shared" ref="F35:F48" si="35">+D35-E35</f>
        <v>897873.19272430753</v>
      </c>
      <c r="G35" s="355">
        <f t="shared" ref="G35:G72" si="36">+I$12*F35+E35</f>
        <v>145425.95272149655</v>
      </c>
      <c r="H35" s="337">
        <f t="shared" ref="H35:H72" si="37">+I$13*F35+E35</f>
        <v>145425.95272149655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897873.19272430753</v>
      </c>
      <c r="E36" s="354">
        <f>IF(+I14&lt;F35,I14,D36)</f>
        <v>40013.210526315786</v>
      </c>
      <c r="F36" s="55">
        <f t="shared" si="35"/>
        <v>857859.98219799181</v>
      </c>
      <c r="G36" s="355">
        <f t="shared" si="36"/>
        <v>140728.29354223746</v>
      </c>
      <c r="H36" s="337">
        <f t="shared" si="37"/>
        <v>140728.29354223746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857859.98219799181</v>
      </c>
      <c r="E37" s="354">
        <f>IF(+I14&lt;F36,I14,D37)</f>
        <v>40013.210526315786</v>
      </c>
      <c r="F37" s="55">
        <f t="shared" si="35"/>
        <v>817846.77167167608</v>
      </c>
      <c r="G37" s="355">
        <f t="shared" si="36"/>
        <v>136030.63436297837</v>
      </c>
      <c r="H37" s="337">
        <f t="shared" si="37"/>
        <v>136030.63436297837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817846.77167167608</v>
      </c>
      <c r="E38" s="354">
        <f>IF(+I14&lt;F37,I14,D38)</f>
        <v>40013.210526315786</v>
      </c>
      <c r="F38" s="55">
        <f t="shared" si="35"/>
        <v>777833.56114536035</v>
      </c>
      <c r="G38" s="355">
        <f t="shared" si="36"/>
        <v>131332.97518371927</v>
      </c>
      <c r="H38" s="337">
        <f t="shared" si="37"/>
        <v>131332.97518371927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777833.56114536035</v>
      </c>
      <c r="E39" s="354">
        <f>IF(+I14&lt;F38,I14,D39)</f>
        <v>40013.210526315786</v>
      </c>
      <c r="F39" s="55">
        <f t="shared" si="35"/>
        <v>737820.35061904462</v>
      </c>
      <c r="G39" s="355">
        <f t="shared" si="36"/>
        <v>126635.31600446018</v>
      </c>
      <c r="H39" s="337">
        <f t="shared" si="37"/>
        <v>126635.31600446018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737820.35061904462</v>
      </c>
      <c r="E40" s="354">
        <f>IF(+I14&lt;F39,I14,D40)</f>
        <v>40013.210526315786</v>
      </c>
      <c r="F40" s="55">
        <f t="shared" si="35"/>
        <v>697807.14009272889</v>
      </c>
      <c r="G40" s="355">
        <f t="shared" si="36"/>
        <v>121937.65682520109</v>
      </c>
      <c r="H40" s="337">
        <f t="shared" si="37"/>
        <v>121937.65682520109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697807.14009272889</v>
      </c>
      <c r="E41" s="354">
        <f>IF(+I14&lt;F40,I14,D41)</f>
        <v>40013.210526315786</v>
      </c>
      <c r="F41" s="55">
        <f t="shared" si="35"/>
        <v>657793.92956641316</v>
      </c>
      <c r="G41" s="355">
        <f t="shared" si="36"/>
        <v>117239.99764594198</v>
      </c>
      <c r="H41" s="337">
        <f t="shared" si="37"/>
        <v>117239.99764594198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657793.92956641316</v>
      </c>
      <c r="E42" s="354">
        <f>IF(+I14&lt;F41,I14,D42)</f>
        <v>40013.210526315786</v>
      </c>
      <c r="F42" s="55">
        <f t="shared" si="35"/>
        <v>617780.71904009744</v>
      </c>
      <c r="G42" s="355">
        <f t="shared" si="36"/>
        <v>112542.33846668289</v>
      </c>
      <c r="H42" s="337">
        <f t="shared" si="37"/>
        <v>112542.33846668289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617780.71904009744</v>
      </c>
      <c r="E43" s="354">
        <f>IF(+I14&lt;F42,I14,D43)</f>
        <v>40013.210526315786</v>
      </c>
      <c r="F43" s="55">
        <f t="shared" si="35"/>
        <v>577767.50851378171</v>
      </c>
      <c r="G43" s="355">
        <f t="shared" si="36"/>
        <v>107844.6792874238</v>
      </c>
      <c r="H43" s="337">
        <f t="shared" si="37"/>
        <v>107844.6792874238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577767.50851378171</v>
      </c>
      <c r="E44" s="354">
        <f>IF(+I14&lt;F43,I14,D44)</f>
        <v>40013.210526315786</v>
      </c>
      <c r="F44" s="55">
        <f t="shared" si="35"/>
        <v>537754.29798746598</v>
      </c>
      <c r="G44" s="355">
        <f t="shared" si="36"/>
        <v>103147.0201081647</v>
      </c>
      <c r="H44" s="337">
        <f t="shared" si="37"/>
        <v>103147.0201081647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537754.29798746598</v>
      </c>
      <c r="E45" s="354">
        <f>IF(+I14&lt;F44,I14,D45)</f>
        <v>40013.210526315786</v>
      </c>
      <c r="F45" s="55">
        <f t="shared" si="35"/>
        <v>497741.08746115019</v>
      </c>
      <c r="G45" s="355">
        <f t="shared" si="36"/>
        <v>98449.360928905604</v>
      </c>
      <c r="H45" s="337">
        <f t="shared" si="37"/>
        <v>98449.360928905604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497741.08746115019</v>
      </c>
      <c r="E46" s="354">
        <f>IF(+I14&lt;F45,I14,D46)</f>
        <v>40013.210526315786</v>
      </c>
      <c r="F46" s="55">
        <f t="shared" si="35"/>
        <v>457727.87693483441</v>
      </c>
      <c r="G46" s="355">
        <f t="shared" si="36"/>
        <v>93751.701749646512</v>
      </c>
      <c r="H46" s="337">
        <f t="shared" si="37"/>
        <v>93751.701749646512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457727.87693483441</v>
      </c>
      <c r="E47" s="354">
        <f>IF(+I14&lt;F46,I14,D47)</f>
        <v>40013.210526315786</v>
      </c>
      <c r="F47" s="55">
        <f t="shared" si="35"/>
        <v>417714.66640851862</v>
      </c>
      <c r="G47" s="355">
        <f t="shared" si="36"/>
        <v>89054.042570387392</v>
      </c>
      <c r="H47" s="337">
        <f t="shared" si="37"/>
        <v>89054.042570387392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417714.66640851862</v>
      </c>
      <c r="E48" s="354">
        <f>IF(+I14&lt;F47,I14,D48)</f>
        <v>40013.210526315786</v>
      </c>
      <c r="F48" s="55">
        <f t="shared" si="35"/>
        <v>377701.45588220283</v>
      </c>
      <c r="G48" s="355">
        <f t="shared" si="36"/>
        <v>84356.3833911283</v>
      </c>
      <c r="H48" s="337">
        <f t="shared" si="37"/>
        <v>84356.3833911283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22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377701.45588220283</v>
      </c>
      <c r="E49" s="354">
        <f>IF(+I14&lt;F48,I14,D49)</f>
        <v>40013.210526315786</v>
      </c>
      <c r="F49" s="55">
        <f t="shared" ref="F49:F72" si="38">+D49-E49</f>
        <v>337688.24535588705</v>
      </c>
      <c r="G49" s="355">
        <f t="shared" si="36"/>
        <v>79658.724211869208</v>
      </c>
      <c r="H49" s="337">
        <f t="shared" si="37"/>
        <v>79658.724211869208</v>
      </c>
      <c r="I49" s="52">
        <f t="shared" ref="I49:I72" si="39">H49-G49</f>
        <v>0</v>
      </c>
      <c r="J49" s="52"/>
      <c r="K49" s="115"/>
      <c r="L49" s="54">
        <f t="shared" ref="L49:L72" si="40">IF(K49&lt;&gt;0,+G49-K49,0)</f>
        <v>0</v>
      </c>
      <c r="M49" s="115"/>
      <c r="N49" s="54">
        <f t="shared" ref="N49:N72" si="41">IF(M49&lt;&gt;0,+H49-M49,0)</f>
        <v>0</v>
      </c>
      <c r="O49" s="54">
        <f t="shared" ref="O49:O72" si="42">+N49-L49</f>
        <v>0</v>
      </c>
      <c r="P49" s="1"/>
    </row>
    <row r="50" spans="2:22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337688.24535588705</v>
      </c>
      <c r="E50" s="354">
        <f>IF(+I14&lt;F49,I14,D50)</f>
        <v>40013.210526315786</v>
      </c>
      <c r="F50" s="55">
        <f t="shared" si="38"/>
        <v>297675.03482957126</v>
      </c>
      <c r="G50" s="355">
        <f t="shared" si="36"/>
        <v>74961.065032610088</v>
      </c>
      <c r="H50" s="337">
        <f t="shared" si="37"/>
        <v>74961.065032610088</v>
      </c>
      <c r="I50" s="52">
        <f t="shared" si="39"/>
        <v>0</v>
      </c>
      <c r="J50" s="52"/>
      <c r="K50" s="115"/>
      <c r="L50" s="54">
        <f t="shared" si="40"/>
        <v>0</v>
      </c>
      <c r="M50" s="115"/>
      <c r="N50" s="54">
        <f t="shared" si="41"/>
        <v>0</v>
      </c>
      <c r="O50" s="54">
        <f t="shared" si="42"/>
        <v>0</v>
      </c>
      <c r="P50" s="1"/>
    </row>
    <row r="51" spans="2:22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297675.03482957126</v>
      </c>
      <c r="E51" s="354">
        <f>IF(+I14&lt;F50,I14,D51)</f>
        <v>40013.210526315786</v>
      </c>
      <c r="F51" s="55">
        <f t="shared" si="38"/>
        <v>257661.82430325547</v>
      </c>
      <c r="G51" s="355">
        <f t="shared" si="36"/>
        <v>70263.405853350996</v>
      </c>
      <c r="H51" s="337">
        <f t="shared" si="37"/>
        <v>70263.405853350996</v>
      </c>
      <c r="I51" s="52">
        <f t="shared" si="39"/>
        <v>0</v>
      </c>
      <c r="J51" s="52"/>
      <c r="K51" s="115"/>
      <c r="L51" s="54">
        <f t="shared" si="40"/>
        <v>0</v>
      </c>
      <c r="M51" s="115"/>
      <c r="N51" s="54">
        <f t="shared" si="41"/>
        <v>0</v>
      </c>
      <c r="O51" s="54">
        <f t="shared" si="42"/>
        <v>0</v>
      </c>
      <c r="P51" s="1"/>
      <c r="V51" t="s">
        <v>455</v>
      </c>
    </row>
    <row r="52" spans="2:22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257661.82430325547</v>
      </c>
      <c r="E52" s="354">
        <f>IF(+I14&lt;F51,I14,D52)</f>
        <v>40013.210526315786</v>
      </c>
      <c r="F52" s="55">
        <f t="shared" si="38"/>
        <v>217648.61377693969</v>
      </c>
      <c r="G52" s="355">
        <f t="shared" si="36"/>
        <v>65565.74667409189</v>
      </c>
      <c r="H52" s="337">
        <f t="shared" si="37"/>
        <v>65565.74667409189</v>
      </c>
      <c r="I52" s="52">
        <f t="shared" si="39"/>
        <v>0</v>
      </c>
      <c r="J52" s="52"/>
      <c r="K52" s="115"/>
      <c r="L52" s="54">
        <f t="shared" si="40"/>
        <v>0</v>
      </c>
      <c r="M52" s="115"/>
      <c r="N52" s="54">
        <f t="shared" si="41"/>
        <v>0</v>
      </c>
      <c r="O52" s="54">
        <f t="shared" si="42"/>
        <v>0</v>
      </c>
      <c r="P52" s="1"/>
    </row>
    <row r="53" spans="2:22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217648.61377693969</v>
      </c>
      <c r="E53" s="354">
        <f>IF(+I14&lt;F52,I14,D53)</f>
        <v>40013.210526315786</v>
      </c>
      <c r="F53" s="55">
        <f t="shared" si="38"/>
        <v>177635.4032506239</v>
      </c>
      <c r="G53" s="355">
        <f t="shared" si="36"/>
        <v>60868.087494832798</v>
      </c>
      <c r="H53" s="337">
        <f t="shared" si="37"/>
        <v>60868.087494832798</v>
      </c>
      <c r="I53" s="52">
        <f t="shared" si="39"/>
        <v>0</v>
      </c>
      <c r="J53" s="52"/>
      <c r="K53" s="115"/>
      <c r="L53" s="54">
        <f t="shared" si="40"/>
        <v>0</v>
      </c>
      <c r="M53" s="115"/>
      <c r="N53" s="54">
        <f t="shared" si="41"/>
        <v>0</v>
      </c>
      <c r="O53" s="54">
        <f t="shared" si="42"/>
        <v>0</v>
      </c>
      <c r="P53" s="1"/>
    </row>
    <row r="54" spans="2:22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177635.4032506239</v>
      </c>
      <c r="E54" s="354">
        <f>IF(+I14&lt;F53,I14,D54)</f>
        <v>40013.210526315786</v>
      </c>
      <c r="F54" s="55">
        <f t="shared" si="38"/>
        <v>137622.19272430812</v>
      </c>
      <c r="G54" s="355">
        <f t="shared" si="36"/>
        <v>56170.428315573692</v>
      </c>
      <c r="H54" s="337">
        <f t="shared" si="37"/>
        <v>56170.428315573692</v>
      </c>
      <c r="I54" s="52">
        <f t="shared" si="39"/>
        <v>0</v>
      </c>
      <c r="J54" s="52"/>
      <c r="K54" s="115"/>
      <c r="L54" s="54">
        <f t="shared" si="40"/>
        <v>0</v>
      </c>
      <c r="M54" s="115"/>
      <c r="N54" s="54">
        <f t="shared" si="41"/>
        <v>0</v>
      </c>
      <c r="O54" s="54">
        <f t="shared" si="42"/>
        <v>0</v>
      </c>
      <c r="P54" s="1"/>
    </row>
    <row r="55" spans="2:22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137622.19272430812</v>
      </c>
      <c r="E55" s="354">
        <f>IF(+I14&lt;F54,I14,D55)</f>
        <v>40013.210526315786</v>
      </c>
      <c r="F55" s="55">
        <f t="shared" si="38"/>
        <v>97608.982197992329</v>
      </c>
      <c r="G55" s="355">
        <f t="shared" si="36"/>
        <v>51472.769136314593</v>
      </c>
      <c r="H55" s="337">
        <f t="shared" si="37"/>
        <v>51472.769136314593</v>
      </c>
      <c r="I55" s="52">
        <f t="shared" si="39"/>
        <v>0</v>
      </c>
      <c r="J55" s="52"/>
      <c r="K55" s="115"/>
      <c r="L55" s="54">
        <f t="shared" si="40"/>
        <v>0</v>
      </c>
      <c r="M55" s="115"/>
      <c r="N55" s="54">
        <f t="shared" si="41"/>
        <v>0</v>
      </c>
      <c r="O55" s="54">
        <f t="shared" si="42"/>
        <v>0</v>
      </c>
      <c r="P55" s="1"/>
    </row>
    <row r="56" spans="2:22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97608.982197992329</v>
      </c>
      <c r="E56" s="354">
        <f>IF(+I14&lt;F55,I14,D56)</f>
        <v>40013.210526315786</v>
      </c>
      <c r="F56" s="55">
        <f t="shared" si="38"/>
        <v>57595.771671676543</v>
      </c>
      <c r="G56" s="355">
        <f t="shared" si="36"/>
        <v>46775.109957055487</v>
      </c>
      <c r="H56" s="337">
        <f t="shared" si="37"/>
        <v>46775.109957055487</v>
      </c>
      <c r="I56" s="52">
        <f t="shared" si="39"/>
        <v>0</v>
      </c>
      <c r="J56" s="52"/>
      <c r="K56" s="115"/>
      <c r="L56" s="54">
        <f t="shared" si="40"/>
        <v>0</v>
      </c>
      <c r="M56" s="115"/>
      <c r="N56" s="54">
        <f t="shared" si="41"/>
        <v>0</v>
      </c>
      <c r="O56" s="54">
        <f t="shared" si="42"/>
        <v>0</v>
      </c>
      <c r="P56" s="1"/>
    </row>
    <row r="57" spans="2:22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57595.771671676543</v>
      </c>
      <c r="E57" s="354">
        <f>IF(+I14&lt;F56,I14,D57)</f>
        <v>40013.210526315786</v>
      </c>
      <c r="F57" s="55">
        <f t="shared" si="38"/>
        <v>17582.561145360756</v>
      </c>
      <c r="G57" s="355">
        <f t="shared" si="36"/>
        <v>42077.450777796388</v>
      </c>
      <c r="H57" s="337">
        <f t="shared" si="37"/>
        <v>42077.450777796388</v>
      </c>
      <c r="I57" s="52">
        <f t="shared" si="39"/>
        <v>0</v>
      </c>
      <c r="J57" s="52"/>
      <c r="K57" s="115"/>
      <c r="L57" s="54">
        <f t="shared" si="40"/>
        <v>0</v>
      </c>
      <c r="M57" s="115"/>
      <c r="N57" s="54">
        <f t="shared" si="41"/>
        <v>0</v>
      </c>
      <c r="O57" s="54">
        <f t="shared" si="42"/>
        <v>0</v>
      </c>
      <c r="P57" s="1"/>
    </row>
    <row r="58" spans="2:22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17582.561145360756</v>
      </c>
      <c r="E58" s="354">
        <f>IF(+I14&lt;F57,I14,D58)</f>
        <v>17582.561145360756</v>
      </c>
      <c r="F58" s="55">
        <f t="shared" si="38"/>
        <v>0</v>
      </c>
      <c r="G58" s="355">
        <f t="shared" si="36"/>
        <v>17582.561145360756</v>
      </c>
      <c r="H58" s="337">
        <f t="shared" si="37"/>
        <v>17582.561145360756</v>
      </c>
      <c r="I58" s="52">
        <f t="shared" si="39"/>
        <v>0</v>
      </c>
      <c r="J58" s="52"/>
      <c r="K58" s="115"/>
      <c r="L58" s="54">
        <f t="shared" si="40"/>
        <v>0</v>
      </c>
      <c r="M58" s="115"/>
      <c r="N58" s="54">
        <f t="shared" si="41"/>
        <v>0</v>
      </c>
      <c r="O58" s="54">
        <f t="shared" si="42"/>
        <v>0</v>
      </c>
      <c r="P58" s="1"/>
    </row>
    <row r="59" spans="2:22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38"/>
        <v>0</v>
      </c>
      <c r="G59" s="355">
        <f t="shared" si="36"/>
        <v>0</v>
      </c>
      <c r="H59" s="337">
        <f t="shared" si="37"/>
        <v>0</v>
      </c>
      <c r="I59" s="52">
        <f t="shared" si="39"/>
        <v>0</v>
      </c>
      <c r="J59" s="52"/>
      <c r="K59" s="115"/>
      <c r="L59" s="54">
        <f t="shared" si="40"/>
        <v>0</v>
      </c>
      <c r="M59" s="115"/>
      <c r="N59" s="54">
        <f t="shared" si="41"/>
        <v>0</v>
      </c>
      <c r="O59" s="54">
        <f t="shared" si="42"/>
        <v>0</v>
      </c>
      <c r="P59" s="1"/>
    </row>
    <row r="60" spans="2:22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38"/>
        <v>0</v>
      </c>
      <c r="G60" s="355">
        <f t="shared" si="36"/>
        <v>0</v>
      </c>
      <c r="H60" s="337">
        <f t="shared" si="37"/>
        <v>0</v>
      </c>
      <c r="I60" s="52">
        <f t="shared" si="39"/>
        <v>0</v>
      </c>
      <c r="J60" s="52"/>
      <c r="K60" s="115"/>
      <c r="L60" s="54">
        <f t="shared" si="40"/>
        <v>0</v>
      </c>
      <c r="M60" s="115"/>
      <c r="N60" s="54">
        <f t="shared" si="41"/>
        <v>0</v>
      </c>
      <c r="O60" s="54">
        <f t="shared" si="42"/>
        <v>0</v>
      </c>
      <c r="P60" s="1"/>
    </row>
    <row r="61" spans="2:22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38"/>
        <v>0</v>
      </c>
      <c r="G61" s="356">
        <f t="shared" si="36"/>
        <v>0</v>
      </c>
      <c r="H61" s="337">
        <f t="shared" si="37"/>
        <v>0</v>
      </c>
      <c r="I61" s="52">
        <f t="shared" si="39"/>
        <v>0</v>
      </c>
      <c r="J61" s="52"/>
      <c r="K61" s="115"/>
      <c r="L61" s="54">
        <f t="shared" si="40"/>
        <v>0</v>
      </c>
      <c r="M61" s="115"/>
      <c r="N61" s="54">
        <f t="shared" si="41"/>
        <v>0</v>
      </c>
      <c r="O61" s="54">
        <f t="shared" si="42"/>
        <v>0</v>
      </c>
      <c r="P61" s="1"/>
    </row>
    <row r="62" spans="2:22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38"/>
        <v>0</v>
      </c>
      <c r="G62" s="356">
        <f t="shared" si="36"/>
        <v>0</v>
      </c>
      <c r="H62" s="337">
        <f t="shared" si="37"/>
        <v>0</v>
      </c>
      <c r="I62" s="52">
        <f t="shared" si="39"/>
        <v>0</v>
      </c>
      <c r="J62" s="52"/>
      <c r="K62" s="115"/>
      <c r="L62" s="54">
        <f t="shared" si="40"/>
        <v>0</v>
      </c>
      <c r="M62" s="115"/>
      <c r="N62" s="54">
        <f t="shared" si="41"/>
        <v>0</v>
      </c>
      <c r="O62" s="54">
        <f t="shared" si="42"/>
        <v>0</v>
      </c>
      <c r="P62" s="1"/>
    </row>
    <row r="63" spans="2:22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38"/>
        <v>0</v>
      </c>
      <c r="G63" s="356">
        <f t="shared" si="36"/>
        <v>0</v>
      </c>
      <c r="H63" s="337">
        <f t="shared" si="37"/>
        <v>0</v>
      </c>
      <c r="I63" s="52">
        <f t="shared" si="39"/>
        <v>0</v>
      </c>
      <c r="J63" s="52"/>
      <c r="K63" s="115"/>
      <c r="L63" s="54">
        <f t="shared" si="40"/>
        <v>0</v>
      </c>
      <c r="M63" s="115"/>
      <c r="N63" s="54">
        <f t="shared" si="41"/>
        <v>0</v>
      </c>
      <c r="O63" s="54">
        <f t="shared" si="42"/>
        <v>0</v>
      </c>
      <c r="P63" s="1"/>
    </row>
    <row r="64" spans="2:22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38"/>
        <v>0</v>
      </c>
      <c r="G64" s="356">
        <f t="shared" si="36"/>
        <v>0</v>
      </c>
      <c r="H64" s="337">
        <f t="shared" si="37"/>
        <v>0</v>
      </c>
      <c r="I64" s="52">
        <f t="shared" si="39"/>
        <v>0</v>
      </c>
      <c r="J64" s="52"/>
      <c r="K64" s="115"/>
      <c r="L64" s="54">
        <f t="shared" si="40"/>
        <v>0</v>
      </c>
      <c r="M64" s="115"/>
      <c r="N64" s="54">
        <f t="shared" si="41"/>
        <v>0</v>
      </c>
      <c r="O64" s="54">
        <f t="shared" si="42"/>
        <v>0</v>
      </c>
      <c r="P64" s="1"/>
    </row>
    <row r="65" spans="2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38"/>
        <v>0</v>
      </c>
      <c r="G65" s="356">
        <f t="shared" si="36"/>
        <v>0</v>
      </c>
      <c r="H65" s="337">
        <f t="shared" si="37"/>
        <v>0</v>
      </c>
      <c r="I65" s="52">
        <f t="shared" si="39"/>
        <v>0</v>
      </c>
      <c r="J65" s="52"/>
      <c r="K65" s="115"/>
      <c r="L65" s="54">
        <f t="shared" si="40"/>
        <v>0</v>
      </c>
      <c r="M65" s="115"/>
      <c r="N65" s="54">
        <f t="shared" si="41"/>
        <v>0</v>
      </c>
      <c r="O65" s="54">
        <f t="shared" si="42"/>
        <v>0</v>
      </c>
      <c r="P65" s="1"/>
    </row>
    <row r="66" spans="2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38"/>
        <v>0</v>
      </c>
      <c r="G66" s="356">
        <f t="shared" si="36"/>
        <v>0</v>
      </c>
      <c r="H66" s="337">
        <f t="shared" si="37"/>
        <v>0</v>
      </c>
      <c r="I66" s="52">
        <f t="shared" si="39"/>
        <v>0</v>
      </c>
      <c r="J66" s="52"/>
      <c r="K66" s="115"/>
      <c r="L66" s="54">
        <f t="shared" si="40"/>
        <v>0</v>
      </c>
      <c r="M66" s="115"/>
      <c r="N66" s="54">
        <f t="shared" si="41"/>
        <v>0</v>
      </c>
      <c r="O66" s="54">
        <f t="shared" si="42"/>
        <v>0</v>
      </c>
      <c r="P66" s="1"/>
    </row>
    <row r="67" spans="2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38"/>
        <v>0</v>
      </c>
      <c r="G67" s="356">
        <f t="shared" si="36"/>
        <v>0</v>
      </c>
      <c r="H67" s="337">
        <f t="shared" si="37"/>
        <v>0</v>
      </c>
      <c r="I67" s="52">
        <f t="shared" si="39"/>
        <v>0</v>
      </c>
      <c r="J67" s="52"/>
      <c r="K67" s="115"/>
      <c r="L67" s="54">
        <f t="shared" si="40"/>
        <v>0</v>
      </c>
      <c r="M67" s="115"/>
      <c r="N67" s="54">
        <f t="shared" si="41"/>
        <v>0</v>
      </c>
      <c r="O67" s="54">
        <f t="shared" si="42"/>
        <v>0</v>
      </c>
      <c r="P67" s="1"/>
    </row>
    <row r="68" spans="2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38"/>
        <v>0</v>
      </c>
      <c r="G68" s="356">
        <f t="shared" si="36"/>
        <v>0</v>
      </c>
      <c r="H68" s="337">
        <f t="shared" si="37"/>
        <v>0</v>
      </c>
      <c r="I68" s="52">
        <f t="shared" si="39"/>
        <v>0</v>
      </c>
      <c r="J68" s="52"/>
      <c r="K68" s="115"/>
      <c r="L68" s="54">
        <f t="shared" si="40"/>
        <v>0</v>
      </c>
      <c r="M68" s="115"/>
      <c r="N68" s="54">
        <f t="shared" si="41"/>
        <v>0</v>
      </c>
      <c r="O68" s="54">
        <f t="shared" si="42"/>
        <v>0</v>
      </c>
      <c r="P68" s="1"/>
    </row>
    <row r="69" spans="2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38"/>
        <v>0</v>
      </c>
      <c r="G69" s="356">
        <f t="shared" si="36"/>
        <v>0</v>
      </c>
      <c r="H69" s="337">
        <f t="shared" si="37"/>
        <v>0</v>
      </c>
      <c r="I69" s="52">
        <f t="shared" si="39"/>
        <v>0</v>
      </c>
      <c r="J69" s="52"/>
      <c r="K69" s="115"/>
      <c r="L69" s="54">
        <f t="shared" si="40"/>
        <v>0</v>
      </c>
      <c r="M69" s="115"/>
      <c r="N69" s="54">
        <f t="shared" si="41"/>
        <v>0</v>
      </c>
      <c r="O69" s="54">
        <f t="shared" si="42"/>
        <v>0</v>
      </c>
      <c r="P69" s="1"/>
    </row>
    <row r="70" spans="2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38"/>
        <v>0</v>
      </c>
      <c r="G70" s="356">
        <f t="shared" si="36"/>
        <v>0</v>
      </c>
      <c r="H70" s="337">
        <f t="shared" si="37"/>
        <v>0</v>
      </c>
      <c r="I70" s="52">
        <f t="shared" si="39"/>
        <v>0</v>
      </c>
      <c r="J70" s="52"/>
      <c r="K70" s="115"/>
      <c r="L70" s="54">
        <f t="shared" si="40"/>
        <v>0</v>
      </c>
      <c r="M70" s="115"/>
      <c r="N70" s="54">
        <f t="shared" si="41"/>
        <v>0</v>
      </c>
      <c r="O70" s="54">
        <f t="shared" si="42"/>
        <v>0</v>
      </c>
      <c r="P70" s="1"/>
    </row>
    <row r="71" spans="2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38"/>
        <v>0</v>
      </c>
      <c r="G71" s="356">
        <f t="shared" si="36"/>
        <v>0</v>
      </c>
      <c r="H71" s="337">
        <f t="shared" si="37"/>
        <v>0</v>
      </c>
      <c r="I71" s="52">
        <f t="shared" si="39"/>
        <v>0</v>
      </c>
      <c r="J71" s="52"/>
      <c r="K71" s="115"/>
      <c r="L71" s="54">
        <f t="shared" si="40"/>
        <v>0</v>
      </c>
      <c r="M71" s="115"/>
      <c r="N71" s="54">
        <f t="shared" si="41"/>
        <v>0</v>
      </c>
      <c r="O71" s="54">
        <f t="shared" si="42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38"/>
        <v>0</v>
      </c>
      <c r="G72" s="358">
        <f t="shared" si="36"/>
        <v>0</v>
      </c>
      <c r="H72" s="335">
        <f t="shared" si="37"/>
        <v>0</v>
      </c>
      <c r="I72" s="61">
        <f t="shared" si="39"/>
        <v>0</v>
      </c>
      <c r="J72" s="52"/>
      <c r="K72" s="116"/>
      <c r="L72" s="62">
        <f t="shared" si="40"/>
        <v>0</v>
      </c>
      <c r="M72" s="116"/>
      <c r="N72" s="62">
        <f t="shared" si="41"/>
        <v>0</v>
      </c>
      <c r="O72" s="62">
        <f t="shared" si="42"/>
        <v>0</v>
      </c>
      <c r="P72" s="1"/>
    </row>
    <row r="73" spans="2:16" ht="12.5">
      <c r="C73" s="12" t="s">
        <v>77</v>
      </c>
      <c r="D73" s="267"/>
      <c r="E73" s="267">
        <f>SUM(E17:E72)</f>
        <v>1520501.9999999993</v>
      </c>
      <c r="F73" s="267"/>
      <c r="G73" s="267">
        <f>SUM(G17:G72)</f>
        <v>5439349.0235695913</v>
      </c>
      <c r="H73" s="267">
        <f>SUM(H17:H72)</f>
        <v>5439349.0235695913</v>
      </c>
      <c r="I73" s="267">
        <f>SUM(I17:I72)</f>
        <v>0</v>
      </c>
      <c r="J73" s="267"/>
      <c r="K73" s="267"/>
      <c r="L73" s="267"/>
      <c r="M73" s="267"/>
      <c r="N73" s="267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7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7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7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7"/>
      <c r="H77" s="267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7"/>
      <c r="H78" s="267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6 of 37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7"/>
      <c r="L85" s="202"/>
      <c r="M85" s="202"/>
      <c r="N85" s="202"/>
      <c r="O85" s="267"/>
      <c r="P85" s="1"/>
    </row>
    <row r="86" spans="1:16" ht="16" thickBot="1">
      <c r="C86" s="248"/>
      <c r="D86" s="2"/>
      <c r="E86" s="1"/>
      <c r="F86" s="1"/>
      <c r="G86" s="1"/>
      <c r="H86" s="1"/>
      <c r="I86" s="202"/>
      <c r="J86" s="202"/>
      <c r="K86" s="267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6"/>
      <c r="I87" s="1" t="s">
        <v>45</v>
      </c>
      <c r="J87" s="1"/>
      <c r="K87" s="105"/>
      <c r="L87" s="363" t="s">
        <v>154</v>
      </c>
      <c r="M87" s="364">
        <f>IF(J92&lt;D11,0,VLOOKUP(J92,C17:O72,9))</f>
        <v>151239.69603131246</v>
      </c>
      <c r="N87" s="364">
        <f>IF(J92&lt;D11,0,VLOOKUP(J92,C17:O72,11))</f>
        <v>151239.69603131246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8"/>
      <c r="J88" s="328"/>
      <c r="K88" s="365"/>
      <c r="L88" s="366" t="s">
        <v>155</v>
      </c>
      <c r="M88" s="367">
        <f>IF(J92&lt;D11,0,VLOOKUP(J92,C99:P154,6))</f>
        <v>172747.35341642579</v>
      </c>
      <c r="N88" s="367">
        <f>IF(J92&lt;D11,0,VLOOKUP(J92,C99:P154,7))</f>
        <v>172747.35341642579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Pryor Junction 138/69 Upgrade Transf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21507.657385113329</v>
      </c>
      <c r="N89" s="369">
        <f>+N88-N87</f>
        <v>21507.657385113329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7"/>
      <c r="L90" s="202"/>
      <c r="M90" s="202"/>
      <c r="N90" s="202"/>
      <c r="O90" s="267"/>
      <c r="P90" s="1"/>
    </row>
    <row r="91" spans="1:16" ht="13.5" thickBot="1">
      <c r="C91" s="73" t="s">
        <v>93</v>
      </c>
      <c r="D91" s="89" t="str">
        <f>+D9</f>
        <v>TP2006090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336">
        <v>1520502</v>
      </c>
      <c r="E92" s="1" t="s">
        <v>94</v>
      </c>
      <c r="H92" s="2"/>
      <c r="I92" s="2"/>
      <c r="J92" s="36">
        <f>+'PSO.WS.G.BPU.ATRR.True-up'!M16</f>
        <v>2024</v>
      </c>
      <c r="K92" s="34"/>
      <c r="L92" s="267" t="s">
        <v>95</v>
      </c>
      <c r="P92" s="1"/>
    </row>
    <row r="93" spans="1:16" ht="12.5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7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5">
        <f>IF(D92=0,0,ROUND(D92/D95,0))</f>
        <v>41095</v>
      </c>
      <c r="K96" s="267"/>
      <c r="L96" s="267"/>
      <c r="M96" s="267"/>
      <c r="N96" s="267"/>
      <c r="O96" s="267"/>
      <c r="P96" s="1"/>
    </row>
    <row r="97" spans="1:16" ht="39">
      <c r="A97" s="5"/>
      <c r="B97" s="5"/>
      <c r="C97" s="77" t="s">
        <v>50</v>
      </c>
      <c r="D97" s="373" t="s">
        <v>64</v>
      </c>
      <c r="E97" s="343" t="s">
        <v>65</v>
      </c>
      <c r="F97" s="343" t="s">
        <v>66</v>
      </c>
      <c r="G97" s="338" t="s">
        <v>101</v>
      </c>
      <c r="H97" s="374" t="s">
        <v>286</v>
      </c>
      <c r="I97" s="341" t="s">
        <v>287</v>
      </c>
      <c r="J97" s="77" t="s">
        <v>98</v>
      </c>
      <c r="K97" s="79"/>
      <c r="L97" s="341" t="s">
        <v>211</v>
      </c>
      <c r="M97" s="343" t="s">
        <v>99</v>
      </c>
      <c r="N97" s="341" t="s">
        <v>211</v>
      </c>
      <c r="O97" s="343" t="s">
        <v>99</v>
      </c>
      <c r="P97" s="343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5" t="s">
        <v>74</v>
      </c>
      <c r="J98" s="47" t="s">
        <v>104</v>
      </c>
      <c r="K98" s="45"/>
      <c r="L98" s="346" t="s">
        <v>76</v>
      </c>
      <c r="M98" s="346" t="s">
        <v>76</v>
      </c>
      <c r="N98" s="346" t="s">
        <v>105</v>
      </c>
      <c r="O98" s="346" t="s">
        <v>105</v>
      </c>
      <c r="P98" s="346" t="s">
        <v>105</v>
      </c>
    </row>
    <row r="99" spans="1:16" ht="12.5">
      <c r="C99" s="50">
        <f>IF(D93= "","-",D93)</f>
        <v>2008</v>
      </c>
      <c r="D99" s="349">
        <v>0</v>
      </c>
      <c r="E99" s="352">
        <v>19125</v>
      </c>
      <c r="F99" s="351">
        <v>1501348</v>
      </c>
      <c r="G99" s="376">
        <v>750764</v>
      </c>
      <c r="H99" s="377">
        <v>138367</v>
      </c>
      <c r="I99" s="378">
        <v>138367</v>
      </c>
      <c r="J99" s="54">
        <f t="shared" ref="J99:J130" si="43">+I99-H99</f>
        <v>0</v>
      </c>
      <c r="K99" s="54"/>
      <c r="L99" s="117">
        <v>138367</v>
      </c>
      <c r="M99" s="53">
        <f t="shared" ref="M99:M130" si="44">IF(L99&lt;&gt;0,+H99-L99,0)</f>
        <v>0</v>
      </c>
      <c r="N99" s="117">
        <v>138367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 ht="12.5">
      <c r="B100" s="7" t="str">
        <f>IF(D100=F99,"","IU")</f>
        <v>IU</v>
      </c>
      <c r="C100" s="50">
        <f>IF(D93="","-",+C99+1)</f>
        <v>2009</v>
      </c>
      <c r="D100" s="349">
        <v>1501377</v>
      </c>
      <c r="E100" s="352">
        <v>27152</v>
      </c>
      <c r="F100" s="351">
        <v>1474225</v>
      </c>
      <c r="G100" s="351">
        <v>1487801</v>
      </c>
      <c r="H100" s="352">
        <v>244680.82784018715</v>
      </c>
      <c r="I100" s="353">
        <v>244680.82784018715</v>
      </c>
      <c r="J100" s="54">
        <f t="shared" si="43"/>
        <v>0</v>
      </c>
      <c r="K100" s="54"/>
      <c r="L100" s="379">
        <f t="shared" ref="L100:L105" si="47">H100</f>
        <v>244680.82784018715</v>
      </c>
      <c r="M100" s="380">
        <f t="shared" si="44"/>
        <v>0</v>
      </c>
      <c r="N100" s="379">
        <f t="shared" ref="N100:N105" si="48">I100</f>
        <v>244680.82784018715</v>
      </c>
      <c r="O100" s="54">
        <f t="shared" si="45"/>
        <v>0</v>
      </c>
      <c r="P100" s="54">
        <f t="shared" si="46"/>
        <v>0</v>
      </c>
    </row>
    <row r="101" spans="1:16" ht="12.5">
      <c r="B101" s="7" t="str">
        <f t="shared" ref="B101:B154" si="49">IF(D101=F100,"","IU")</f>
        <v/>
      </c>
      <c r="C101" s="50">
        <f>IF(D93="","-",+C100+1)</f>
        <v>2010</v>
      </c>
      <c r="D101" s="349">
        <v>1474225</v>
      </c>
      <c r="E101" s="352">
        <v>29814</v>
      </c>
      <c r="F101" s="351">
        <v>1444411</v>
      </c>
      <c r="G101" s="351">
        <v>1459318</v>
      </c>
      <c r="H101" s="352">
        <v>264494.5477733505</v>
      </c>
      <c r="I101" s="353">
        <v>264494.5477733505</v>
      </c>
      <c r="J101" s="54">
        <f t="shared" si="43"/>
        <v>0</v>
      </c>
      <c r="K101" s="54"/>
      <c r="L101" s="379">
        <f t="shared" si="47"/>
        <v>264494.5477733505</v>
      </c>
      <c r="M101" s="380">
        <f t="shared" si="44"/>
        <v>0</v>
      </c>
      <c r="N101" s="379">
        <f t="shared" si="48"/>
        <v>264494.5477733505</v>
      </c>
      <c r="O101" s="54">
        <f t="shared" si="45"/>
        <v>0</v>
      </c>
      <c r="P101" s="54">
        <f t="shared" si="46"/>
        <v>0</v>
      </c>
    </row>
    <row r="102" spans="1:16" ht="12.5">
      <c r="B102" s="7" t="str">
        <f t="shared" si="49"/>
        <v/>
      </c>
      <c r="C102" s="50">
        <f>IF(D93="","-",+C101+1)</f>
        <v>2011</v>
      </c>
      <c r="D102" s="349">
        <v>1444411</v>
      </c>
      <c r="E102" s="352">
        <v>29240</v>
      </c>
      <c r="F102" s="351">
        <v>1415171</v>
      </c>
      <c r="G102" s="351">
        <v>1429791</v>
      </c>
      <c r="H102" s="352">
        <v>229143.9952359481</v>
      </c>
      <c r="I102" s="353">
        <v>229143.9952359481</v>
      </c>
      <c r="J102" s="54">
        <f t="shared" si="43"/>
        <v>0</v>
      </c>
      <c r="K102" s="54"/>
      <c r="L102" s="379">
        <f t="shared" si="47"/>
        <v>229143.9952359481</v>
      </c>
      <c r="M102" s="380">
        <f t="shared" si="44"/>
        <v>0</v>
      </c>
      <c r="N102" s="379">
        <f t="shared" si="48"/>
        <v>229143.9952359481</v>
      </c>
      <c r="O102" s="54">
        <f t="shared" si="45"/>
        <v>0</v>
      </c>
      <c r="P102" s="54">
        <f t="shared" si="46"/>
        <v>0</v>
      </c>
    </row>
    <row r="103" spans="1:16" ht="12.5">
      <c r="B103" s="7" t="str">
        <f t="shared" si="49"/>
        <v/>
      </c>
      <c r="C103" s="50">
        <f>IF(D93="","-",+C102+1)</f>
        <v>2012</v>
      </c>
      <c r="D103" s="349">
        <v>1415171</v>
      </c>
      <c r="E103" s="352">
        <v>29240</v>
      </c>
      <c r="F103" s="351">
        <v>1385931</v>
      </c>
      <c r="G103" s="351">
        <v>1400551</v>
      </c>
      <c r="H103" s="352">
        <v>230716.93888695308</v>
      </c>
      <c r="I103" s="353">
        <v>230716.93888695308</v>
      </c>
      <c r="J103" s="54">
        <v>0</v>
      </c>
      <c r="K103" s="54"/>
      <c r="L103" s="379">
        <f t="shared" si="47"/>
        <v>230716.93888695308</v>
      </c>
      <c r="M103" s="380">
        <f t="shared" ref="M103:M108" si="50">IF(L103&lt;&gt;0,+H103-L103,0)</f>
        <v>0</v>
      </c>
      <c r="N103" s="379">
        <f t="shared" si="48"/>
        <v>230716.93888695308</v>
      </c>
      <c r="O103" s="54">
        <f t="shared" ref="O103:O108" si="51">IF(N103&lt;&gt;0,+I103-N103,0)</f>
        <v>0</v>
      </c>
      <c r="P103" s="54">
        <f t="shared" ref="P103:P108" si="52">+O103-M103</f>
        <v>0</v>
      </c>
    </row>
    <row r="104" spans="1:16" ht="12.5">
      <c r="B104" s="7" t="str">
        <f t="shared" si="49"/>
        <v/>
      </c>
      <c r="C104" s="50">
        <f>IF(D93="","-",+C103+1)</f>
        <v>2013</v>
      </c>
      <c r="D104" s="349">
        <v>1385931</v>
      </c>
      <c r="E104" s="352">
        <v>29240</v>
      </c>
      <c r="F104" s="351">
        <v>1356691</v>
      </c>
      <c r="G104" s="351">
        <v>1371311</v>
      </c>
      <c r="H104" s="352">
        <v>226625.94850487544</v>
      </c>
      <c r="I104" s="353">
        <v>226625.94850487544</v>
      </c>
      <c r="J104" s="54">
        <v>0</v>
      </c>
      <c r="K104" s="54"/>
      <c r="L104" s="379">
        <f t="shared" si="47"/>
        <v>226625.94850487544</v>
      </c>
      <c r="M104" s="380">
        <f t="shared" si="50"/>
        <v>0</v>
      </c>
      <c r="N104" s="379">
        <f t="shared" si="48"/>
        <v>226625.94850487544</v>
      </c>
      <c r="O104" s="54">
        <f t="shared" si="51"/>
        <v>0</v>
      </c>
      <c r="P104" s="54">
        <f t="shared" si="52"/>
        <v>0</v>
      </c>
    </row>
    <row r="105" spans="1:16" ht="12.5">
      <c r="B105" s="7" t="str">
        <f t="shared" si="49"/>
        <v/>
      </c>
      <c r="C105" s="50">
        <f>IF(D93="","-",+C104+1)</f>
        <v>2014</v>
      </c>
      <c r="D105" s="349">
        <v>1356691</v>
      </c>
      <c r="E105" s="352">
        <v>29240</v>
      </c>
      <c r="F105" s="351">
        <v>1327451</v>
      </c>
      <c r="G105" s="351">
        <v>1342071</v>
      </c>
      <c r="H105" s="352">
        <v>217929.69653942893</v>
      </c>
      <c r="I105" s="353">
        <v>217929.69653942893</v>
      </c>
      <c r="J105" s="54">
        <v>0</v>
      </c>
      <c r="K105" s="54"/>
      <c r="L105" s="379">
        <f t="shared" si="47"/>
        <v>217929.69653942893</v>
      </c>
      <c r="M105" s="380">
        <f t="shared" si="50"/>
        <v>0</v>
      </c>
      <c r="N105" s="379">
        <f t="shared" si="48"/>
        <v>217929.69653942893</v>
      </c>
      <c r="O105" s="54">
        <f t="shared" si="51"/>
        <v>0</v>
      </c>
      <c r="P105" s="54">
        <f t="shared" si="52"/>
        <v>0</v>
      </c>
    </row>
    <row r="106" spans="1:16" ht="12.5">
      <c r="B106" s="7" t="str">
        <f t="shared" si="49"/>
        <v/>
      </c>
      <c r="C106" s="50">
        <f>IF(D93="","-",+C105+1)</f>
        <v>2015</v>
      </c>
      <c r="D106" s="349">
        <v>1327451</v>
      </c>
      <c r="E106" s="352">
        <v>29240</v>
      </c>
      <c r="F106" s="351">
        <v>1298211</v>
      </c>
      <c r="G106" s="351">
        <v>1312831</v>
      </c>
      <c r="H106" s="352">
        <v>208365.23426858318</v>
      </c>
      <c r="I106" s="353">
        <v>208365.23426858318</v>
      </c>
      <c r="J106" s="54">
        <f t="shared" si="43"/>
        <v>0</v>
      </c>
      <c r="K106" s="54"/>
      <c r="L106" s="379">
        <f t="shared" ref="L106:L111" si="53">H106</f>
        <v>208365.23426858318</v>
      </c>
      <c r="M106" s="380">
        <f t="shared" si="50"/>
        <v>0</v>
      </c>
      <c r="N106" s="379">
        <f t="shared" ref="N106:N111" si="54">I106</f>
        <v>208365.23426858318</v>
      </c>
      <c r="O106" s="54">
        <f t="shared" si="51"/>
        <v>0</v>
      </c>
      <c r="P106" s="54">
        <f t="shared" si="52"/>
        <v>0</v>
      </c>
    </row>
    <row r="107" spans="1:16" ht="12.5">
      <c r="B107" s="7" t="str">
        <f t="shared" si="49"/>
        <v/>
      </c>
      <c r="C107" s="50">
        <f>IF(D93="","-",+C106+1)</f>
        <v>2016</v>
      </c>
      <c r="D107" s="349">
        <v>1298211</v>
      </c>
      <c r="E107" s="352">
        <v>33054</v>
      </c>
      <c r="F107" s="351">
        <v>1265157</v>
      </c>
      <c r="G107" s="351">
        <v>1281684</v>
      </c>
      <c r="H107" s="352">
        <v>198283.25268027262</v>
      </c>
      <c r="I107" s="353">
        <v>198283.25268027262</v>
      </c>
      <c r="J107" s="54">
        <f t="shared" si="43"/>
        <v>0</v>
      </c>
      <c r="K107" s="54"/>
      <c r="L107" s="379">
        <f t="shared" si="53"/>
        <v>198283.25268027262</v>
      </c>
      <c r="M107" s="380">
        <f t="shared" si="50"/>
        <v>0</v>
      </c>
      <c r="N107" s="379">
        <f t="shared" si="54"/>
        <v>198283.25268027262</v>
      </c>
      <c r="O107" s="54">
        <f t="shared" si="51"/>
        <v>0</v>
      </c>
      <c r="P107" s="54">
        <f t="shared" si="52"/>
        <v>0</v>
      </c>
    </row>
    <row r="108" spans="1:16" ht="12.5">
      <c r="B108" s="7" t="str">
        <f t="shared" si="49"/>
        <v/>
      </c>
      <c r="C108" s="50">
        <f>IF(D93="","-",+C107+1)</f>
        <v>2017</v>
      </c>
      <c r="D108" s="349">
        <v>1265157</v>
      </c>
      <c r="E108" s="352">
        <v>33054</v>
      </c>
      <c r="F108" s="351">
        <v>1232103</v>
      </c>
      <c r="G108" s="351">
        <v>1248630</v>
      </c>
      <c r="H108" s="352">
        <v>191445.86392166355</v>
      </c>
      <c r="I108" s="353">
        <v>191445.86392166355</v>
      </c>
      <c r="J108" s="54">
        <f t="shared" si="43"/>
        <v>0</v>
      </c>
      <c r="K108" s="54"/>
      <c r="L108" s="379">
        <f t="shared" si="53"/>
        <v>191445.86392166355</v>
      </c>
      <c r="M108" s="380">
        <f t="shared" si="50"/>
        <v>0</v>
      </c>
      <c r="N108" s="379">
        <f t="shared" si="54"/>
        <v>191445.86392166355</v>
      </c>
      <c r="O108" s="54">
        <f t="shared" si="51"/>
        <v>0</v>
      </c>
      <c r="P108" s="54">
        <f t="shared" si="52"/>
        <v>0</v>
      </c>
    </row>
    <row r="109" spans="1:16" ht="12.5">
      <c r="B109" s="7" t="str">
        <f t="shared" si="49"/>
        <v/>
      </c>
      <c r="C109" s="50">
        <f>IF(D93="","-",+C108+1)</f>
        <v>2018</v>
      </c>
      <c r="D109" s="349">
        <v>1232103</v>
      </c>
      <c r="E109" s="352">
        <v>35361</v>
      </c>
      <c r="F109" s="351">
        <v>1196742</v>
      </c>
      <c r="G109" s="351">
        <v>1214422.5</v>
      </c>
      <c r="H109" s="352">
        <v>160125.3839048628</v>
      </c>
      <c r="I109" s="353">
        <v>160125.3839048628</v>
      </c>
      <c r="J109" s="54">
        <f t="shared" si="43"/>
        <v>0</v>
      </c>
      <c r="K109" s="54"/>
      <c r="L109" s="379">
        <f t="shared" si="53"/>
        <v>160125.3839048628</v>
      </c>
      <c r="M109" s="380">
        <f t="shared" ref="M109" si="55">IF(L109&lt;&gt;0,+H109-L109,0)</f>
        <v>0</v>
      </c>
      <c r="N109" s="379">
        <f t="shared" si="54"/>
        <v>160125.3839048628</v>
      </c>
      <c r="O109" s="54">
        <f t="shared" ref="O109" si="56">IF(N109&lt;&gt;0,+I109-N109,0)</f>
        <v>0</v>
      </c>
      <c r="P109" s="54">
        <f t="shared" ref="P109" si="57">+O109-M109</f>
        <v>0</v>
      </c>
    </row>
    <row r="110" spans="1:16" ht="12.5">
      <c r="B110" s="7" t="str">
        <f t="shared" si="49"/>
        <v/>
      </c>
      <c r="C110" s="50">
        <f>IF(D93="","-",+C109+1)</f>
        <v>2019</v>
      </c>
      <c r="D110" s="349">
        <v>1196742</v>
      </c>
      <c r="E110" s="352">
        <v>37085</v>
      </c>
      <c r="F110" s="351">
        <v>1159657</v>
      </c>
      <c r="G110" s="351">
        <v>1178199.5</v>
      </c>
      <c r="H110" s="352">
        <v>158573.89397118561</v>
      </c>
      <c r="I110" s="353">
        <v>158573.89397118561</v>
      </c>
      <c r="J110" s="54">
        <f t="shared" si="43"/>
        <v>0</v>
      </c>
      <c r="K110" s="54"/>
      <c r="L110" s="379">
        <f t="shared" si="53"/>
        <v>158573.89397118561</v>
      </c>
      <c r="M110" s="380">
        <f t="shared" ref="M110:M111" si="58">IF(L110&lt;&gt;0,+H110-L110,0)</f>
        <v>0</v>
      </c>
      <c r="N110" s="379">
        <f t="shared" si="54"/>
        <v>158573.89397118561</v>
      </c>
      <c r="O110" s="54">
        <f t="shared" si="45"/>
        <v>0</v>
      </c>
      <c r="P110" s="54">
        <f t="shared" si="46"/>
        <v>0</v>
      </c>
    </row>
    <row r="111" spans="1:16" ht="12.5">
      <c r="B111" s="7" t="str">
        <f t="shared" si="49"/>
        <v/>
      </c>
      <c r="C111" s="50">
        <f>IF(D93="","-",+C110+1)</f>
        <v>2020</v>
      </c>
      <c r="D111" s="349">
        <v>1159657</v>
      </c>
      <c r="E111" s="352">
        <v>35361</v>
      </c>
      <c r="F111" s="351">
        <v>1124296</v>
      </c>
      <c r="G111" s="351">
        <v>1141976.5</v>
      </c>
      <c r="H111" s="352">
        <v>167027.75084448946</v>
      </c>
      <c r="I111" s="353">
        <v>167027.75084448946</v>
      </c>
      <c r="J111" s="54">
        <f t="shared" si="43"/>
        <v>0</v>
      </c>
      <c r="K111" s="54"/>
      <c r="L111" s="379">
        <f t="shared" si="53"/>
        <v>167027.75084448946</v>
      </c>
      <c r="M111" s="380">
        <f t="shared" si="58"/>
        <v>0</v>
      </c>
      <c r="N111" s="379">
        <f t="shared" si="54"/>
        <v>167027.75084448946</v>
      </c>
      <c r="O111" s="54">
        <f t="shared" si="45"/>
        <v>0</v>
      </c>
      <c r="P111" s="54">
        <f t="shared" si="46"/>
        <v>0</v>
      </c>
    </row>
    <row r="112" spans="1:16" ht="12.5">
      <c r="B112" s="7" t="str">
        <f t="shared" si="49"/>
        <v/>
      </c>
      <c r="C112" s="50">
        <f>IF(D93="","-",+C111+1)</f>
        <v>2021</v>
      </c>
      <c r="D112" s="349">
        <v>1124296</v>
      </c>
      <c r="E112" s="352">
        <v>37085</v>
      </c>
      <c r="F112" s="351">
        <v>1087211</v>
      </c>
      <c r="G112" s="351">
        <v>1105753.5</v>
      </c>
      <c r="H112" s="352">
        <v>162911.77916931669</v>
      </c>
      <c r="I112" s="353">
        <v>162911.77916931669</v>
      </c>
      <c r="J112" s="54">
        <f t="shared" si="43"/>
        <v>0</v>
      </c>
      <c r="K112" s="54"/>
      <c r="L112" s="379">
        <f t="shared" ref="L112" si="59">H112</f>
        <v>162911.77916931669</v>
      </c>
      <c r="M112" s="380">
        <f t="shared" ref="M112" si="60">IF(L112&lt;&gt;0,+H112-L112,0)</f>
        <v>0</v>
      </c>
      <c r="N112" s="379">
        <f t="shared" ref="N112" si="61">I112</f>
        <v>162911.77916931669</v>
      </c>
      <c r="O112" s="54">
        <f t="shared" ref="O112" si="62">IF(N112&lt;&gt;0,+I112-N112,0)</f>
        <v>0</v>
      </c>
      <c r="P112" s="54">
        <f t="shared" ref="P112" si="63">+O112-M112</f>
        <v>0</v>
      </c>
    </row>
    <row r="113" spans="2:16" ht="12.5">
      <c r="B113" s="7" t="str">
        <f t="shared" si="49"/>
        <v/>
      </c>
      <c r="C113" s="450">
        <f>IF(D93="","-",+C112+1)</f>
        <v>2022</v>
      </c>
      <c r="D113" s="349">
        <v>1087211</v>
      </c>
      <c r="E113" s="352">
        <v>38987</v>
      </c>
      <c r="F113" s="351">
        <v>1048224</v>
      </c>
      <c r="G113" s="351">
        <v>1067717.5</v>
      </c>
      <c r="H113" s="352">
        <v>156630.9466717566</v>
      </c>
      <c r="I113" s="353">
        <v>156630.9466717566</v>
      </c>
      <c r="J113" s="54">
        <f t="shared" si="43"/>
        <v>0</v>
      </c>
      <c r="K113" s="54"/>
      <c r="L113" s="379">
        <f t="shared" ref="L113:L114" si="64">H113</f>
        <v>156630.9466717566</v>
      </c>
      <c r="M113" s="380">
        <f t="shared" ref="M113:M114" si="65">IF(L113&lt;&gt;0,+H113-L113,0)</f>
        <v>0</v>
      </c>
      <c r="N113" s="379">
        <f t="shared" ref="N113:N114" si="66">I113</f>
        <v>156630.9466717566</v>
      </c>
      <c r="O113" s="54">
        <f t="shared" ref="O113:O114" si="67">IF(N113&lt;&gt;0,+I113-N113,0)</f>
        <v>0</v>
      </c>
      <c r="P113" s="54">
        <f t="shared" ref="P113:P114" si="68">+O113-M113</f>
        <v>0</v>
      </c>
    </row>
    <row r="114" spans="2:16" ht="12.5">
      <c r="B114" s="7" t="str">
        <f t="shared" si="49"/>
        <v/>
      </c>
      <c r="C114" s="50">
        <f>IF(D93="","-",+C113+1)</f>
        <v>2023</v>
      </c>
      <c r="D114" s="349">
        <v>1048224</v>
      </c>
      <c r="E114" s="352">
        <v>40013</v>
      </c>
      <c r="F114" s="351">
        <v>1008211</v>
      </c>
      <c r="G114" s="351">
        <v>1028217.5</v>
      </c>
      <c r="H114" s="352">
        <v>157463.25492505005</v>
      </c>
      <c r="I114" s="353">
        <v>157463.25492505005</v>
      </c>
      <c r="J114" s="54">
        <f t="shared" si="43"/>
        <v>0</v>
      </c>
      <c r="K114" s="54"/>
      <c r="L114" s="379">
        <f t="shared" si="64"/>
        <v>157463.25492505005</v>
      </c>
      <c r="M114" s="380">
        <f t="shared" si="65"/>
        <v>0</v>
      </c>
      <c r="N114" s="379">
        <f t="shared" si="66"/>
        <v>157463.25492505005</v>
      </c>
      <c r="O114" s="54">
        <f t="shared" si="67"/>
        <v>0</v>
      </c>
      <c r="P114" s="54">
        <f t="shared" si="68"/>
        <v>0</v>
      </c>
    </row>
    <row r="115" spans="2:16" ht="12.5">
      <c r="B115" s="7" t="str">
        <f t="shared" si="49"/>
        <v/>
      </c>
      <c r="C115" s="50">
        <f>IF(D93="","-",+C114+1)</f>
        <v>2024</v>
      </c>
      <c r="D115" s="349">
        <v>1008211</v>
      </c>
      <c r="E115" s="352">
        <v>40013</v>
      </c>
      <c r="F115" s="351">
        <v>968198</v>
      </c>
      <c r="G115" s="351">
        <v>988204.5</v>
      </c>
      <c r="H115" s="352">
        <v>172747.35341642579</v>
      </c>
      <c r="I115" s="353">
        <v>172747.35341642579</v>
      </c>
      <c r="J115" s="54">
        <f t="shared" si="43"/>
        <v>0</v>
      </c>
      <c r="K115" s="54"/>
      <c r="L115" s="115"/>
      <c r="M115" s="54">
        <f t="shared" si="44"/>
        <v>0</v>
      </c>
      <c r="N115" s="115"/>
      <c r="O115" s="54">
        <f t="shared" si="45"/>
        <v>0</v>
      </c>
      <c r="P115" s="54">
        <f t="shared" si="46"/>
        <v>0</v>
      </c>
    </row>
    <row r="116" spans="2:16" ht="12.5">
      <c r="B116" s="7" t="str">
        <f t="shared" si="49"/>
        <v/>
      </c>
      <c r="C116" s="50">
        <f>IF(D93="","-",+C115+1)</f>
        <v>2025</v>
      </c>
      <c r="D116" s="12">
        <f>IF(F115+SUM(E$99:E115)=D$92,F115,D$92-SUM(E$99:E115))</f>
        <v>968198</v>
      </c>
      <c r="E116" s="355">
        <f>IF(+J96&lt;F115,J96,D116)</f>
        <v>41095</v>
      </c>
      <c r="F116" s="55">
        <f t="shared" ref="F116:F130" si="69">+D116-E116</f>
        <v>927103</v>
      </c>
      <c r="G116" s="55">
        <f t="shared" ref="G116:G130" si="70">+(F116+D116)/2</f>
        <v>947650.5</v>
      </c>
      <c r="H116" s="356">
        <f t="shared" ref="H116:H154" si="71">+J$94*G116+E116</f>
        <v>168382.19246092546</v>
      </c>
      <c r="I116" s="381">
        <f t="shared" ref="I116:I154" si="72">+J$95*G116+E116</f>
        <v>168382.19246092546</v>
      </c>
      <c r="J116" s="54">
        <f t="shared" si="43"/>
        <v>0</v>
      </c>
      <c r="K116" s="54"/>
      <c r="L116" s="115"/>
      <c r="M116" s="54">
        <f t="shared" si="44"/>
        <v>0</v>
      </c>
      <c r="N116" s="115"/>
      <c r="O116" s="54">
        <f t="shared" si="45"/>
        <v>0</v>
      </c>
      <c r="P116" s="54">
        <f t="shared" si="46"/>
        <v>0</v>
      </c>
    </row>
    <row r="117" spans="2:16" ht="12.5">
      <c r="B117" s="7" t="str">
        <f t="shared" si="49"/>
        <v/>
      </c>
      <c r="C117" s="50">
        <f>IF(D93="","-",+C116+1)</f>
        <v>2026</v>
      </c>
      <c r="D117" s="12">
        <f>IF(F116+SUM(E$99:E116)=D$92,F116,D$92-SUM(E$99:E116))</f>
        <v>927103</v>
      </c>
      <c r="E117" s="355">
        <f>IF(+J96&lt;F116,J96,D117)</f>
        <v>41095</v>
      </c>
      <c r="F117" s="55">
        <f t="shared" si="69"/>
        <v>886008</v>
      </c>
      <c r="G117" s="55">
        <f t="shared" si="70"/>
        <v>906555.5</v>
      </c>
      <c r="H117" s="356">
        <f t="shared" si="71"/>
        <v>162862.36508344638</v>
      </c>
      <c r="I117" s="381">
        <f t="shared" si="72"/>
        <v>162862.36508344638</v>
      </c>
      <c r="J117" s="54">
        <f t="shared" si="43"/>
        <v>0</v>
      </c>
      <c r="K117" s="54"/>
      <c r="L117" s="115"/>
      <c r="M117" s="54">
        <f t="shared" si="44"/>
        <v>0</v>
      </c>
      <c r="N117" s="115"/>
      <c r="O117" s="54">
        <f t="shared" si="45"/>
        <v>0</v>
      </c>
      <c r="P117" s="54">
        <f t="shared" si="46"/>
        <v>0</v>
      </c>
    </row>
    <row r="118" spans="2:16" ht="12.5">
      <c r="B118" s="7" t="str">
        <f t="shared" si="49"/>
        <v/>
      </c>
      <c r="C118" s="50">
        <f>IF(D93="","-",+C117+1)</f>
        <v>2027</v>
      </c>
      <c r="D118" s="12">
        <f>IF(F117+SUM(E$99:E117)=D$92,F117,D$92-SUM(E$99:E117))</f>
        <v>886008</v>
      </c>
      <c r="E118" s="355">
        <f>IF(+J96&lt;F117,J96,D118)</f>
        <v>41095</v>
      </c>
      <c r="F118" s="55">
        <f t="shared" si="69"/>
        <v>844913</v>
      </c>
      <c r="G118" s="55">
        <f t="shared" si="70"/>
        <v>865460.5</v>
      </c>
      <c r="H118" s="356">
        <f t="shared" si="71"/>
        <v>157342.53770596732</v>
      </c>
      <c r="I118" s="381">
        <f t="shared" si="72"/>
        <v>157342.53770596732</v>
      </c>
      <c r="J118" s="54">
        <f t="shared" si="43"/>
        <v>0</v>
      </c>
      <c r="K118" s="54"/>
      <c r="L118" s="115"/>
      <c r="M118" s="54">
        <f t="shared" si="44"/>
        <v>0</v>
      </c>
      <c r="N118" s="115"/>
      <c r="O118" s="54">
        <f t="shared" si="45"/>
        <v>0</v>
      </c>
      <c r="P118" s="54">
        <f t="shared" si="46"/>
        <v>0</v>
      </c>
    </row>
    <row r="119" spans="2:16" ht="12.5">
      <c r="B119" s="7" t="str">
        <f t="shared" si="49"/>
        <v/>
      </c>
      <c r="C119" s="50">
        <f>IF(D93="","-",+C118+1)</f>
        <v>2028</v>
      </c>
      <c r="D119" s="12">
        <f>IF(F118+SUM(E$99:E118)=D$92,F118,D$92-SUM(E$99:E118))</f>
        <v>844913</v>
      </c>
      <c r="E119" s="355">
        <f>IF(+J96&lt;F118,J96,D119)</f>
        <v>41095</v>
      </c>
      <c r="F119" s="55">
        <f t="shared" si="69"/>
        <v>803818</v>
      </c>
      <c r="G119" s="55">
        <f t="shared" si="70"/>
        <v>824365.5</v>
      </c>
      <c r="H119" s="356">
        <f t="shared" si="71"/>
        <v>151822.71032848826</v>
      </c>
      <c r="I119" s="381">
        <f t="shared" si="72"/>
        <v>151822.71032848826</v>
      </c>
      <c r="J119" s="54">
        <f t="shared" si="43"/>
        <v>0</v>
      </c>
      <c r="K119" s="54"/>
      <c r="L119" s="115"/>
      <c r="M119" s="54">
        <f t="shared" si="44"/>
        <v>0</v>
      </c>
      <c r="N119" s="115"/>
      <c r="O119" s="54">
        <f t="shared" si="45"/>
        <v>0</v>
      </c>
      <c r="P119" s="54">
        <f t="shared" si="46"/>
        <v>0</v>
      </c>
    </row>
    <row r="120" spans="2:16" ht="12.5">
      <c r="B120" s="7" t="str">
        <f t="shared" si="49"/>
        <v/>
      </c>
      <c r="C120" s="50">
        <f>IF(D93="","-",+C119+1)</f>
        <v>2029</v>
      </c>
      <c r="D120" s="12">
        <f>IF(F119+SUM(E$99:E119)=D$92,F119,D$92-SUM(E$99:E119))</f>
        <v>803818</v>
      </c>
      <c r="E120" s="355">
        <f>IF(+J96&lt;F119,J96,D120)</f>
        <v>41095</v>
      </c>
      <c r="F120" s="55">
        <f t="shared" si="69"/>
        <v>762723</v>
      </c>
      <c r="G120" s="55">
        <f t="shared" si="70"/>
        <v>783270.5</v>
      </c>
      <c r="H120" s="356">
        <f t="shared" si="71"/>
        <v>146302.88295100917</v>
      </c>
      <c r="I120" s="381">
        <f t="shared" si="72"/>
        <v>146302.88295100917</v>
      </c>
      <c r="J120" s="54">
        <f t="shared" si="43"/>
        <v>0</v>
      </c>
      <c r="K120" s="54"/>
      <c r="L120" s="115"/>
      <c r="M120" s="54">
        <f t="shared" si="44"/>
        <v>0</v>
      </c>
      <c r="N120" s="115"/>
      <c r="O120" s="54">
        <f t="shared" si="45"/>
        <v>0</v>
      </c>
      <c r="P120" s="54">
        <f t="shared" si="46"/>
        <v>0</v>
      </c>
    </row>
    <row r="121" spans="2:16" ht="12.5">
      <c r="B121" s="7" t="str">
        <f t="shared" si="49"/>
        <v/>
      </c>
      <c r="C121" s="50">
        <f>IF(D93="","-",+C120+1)</f>
        <v>2030</v>
      </c>
      <c r="D121" s="12">
        <f>IF(F120+SUM(E$99:E120)=D$92,F120,D$92-SUM(E$99:E120))</f>
        <v>762723</v>
      </c>
      <c r="E121" s="355">
        <f>IF(+J96&lt;F120,J96,D121)</f>
        <v>41095</v>
      </c>
      <c r="F121" s="55">
        <f t="shared" si="69"/>
        <v>721628</v>
      </c>
      <c r="G121" s="55">
        <f t="shared" si="70"/>
        <v>742175.5</v>
      </c>
      <c r="H121" s="356">
        <f t="shared" si="71"/>
        <v>140783.05557353009</v>
      </c>
      <c r="I121" s="381">
        <f t="shared" si="72"/>
        <v>140783.05557353009</v>
      </c>
      <c r="J121" s="54">
        <f t="shared" si="43"/>
        <v>0</v>
      </c>
      <c r="K121" s="54"/>
      <c r="L121" s="115"/>
      <c r="M121" s="54">
        <f t="shared" si="44"/>
        <v>0</v>
      </c>
      <c r="N121" s="115"/>
      <c r="O121" s="54">
        <f t="shared" si="45"/>
        <v>0</v>
      </c>
      <c r="P121" s="54">
        <f t="shared" si="46"/>
        <v>0</v>
      </c>
    </row>
    <row r="122" spans="2:16" ht="12.5">
      <c r="B122" s="7" t="str">
        <f t="shared" si="49"/>
        <v/>
      </c>
      <c r="C122" s="50">
        <f>IF(D93="","-",+C121+1)</f>
        <v>2031</v>
      </c>
      <c r="D122" s="12">
        <f>IF(F121+SUM(E$99:E121)=D$92,F121,D$92-SUM(E$99:E121))</f>
        <v>721628</v>
      </c>
      <c r="E122" s="355">
        <f>IF(+J96&lt;F121,J96,D122)</f>
        <v>41095</v>
      </c>
      <c r="F122" s="55">
        <f t="shared" si="69"/>
        <v>680533</v>
      </c>
      <c r="G122" s="55">
        <f t="shared" si="70"/>
        <v>701080.5</v>
      </c>
      <c r="H122" s="356">
        <f t="shared" si="71"/>
        <v>135263.22819605103</v>
      </c>
      <c r="I122" s="381">
        <f t="shared" si="72"/>
        <v>135263.22819605103</v>
      </c>
      <c r="J122" s="54">
        <f t="shared" si="43"/>
        <v>0</v>
      </c>
      <c r="K122" s="54"/>
      <c r="L122" s="115"/>
      <c r="M122" s="54">
        <f t="shared" si="44"/>
        <v>0</v>
      </c>
      <c r="N122" s="115"/>
      <c r="O122" s="54">
        <f t="shared" si="45"/>
        <v>0</v>
      </c>
      <c r="P122" s="54">
        <f t="shared" si="46"/>
        <v>0</v>
      </c>
    </row>
    <row r="123" spans="2:16" ht="12.5">
      <c r="B123" s="7" t="str">
        <f t="shared" si="49"/>
        <v/>
      </c>
      <c r="C123" s="50">
        <f>IF(D93="","-",+C122+1)</f>
        <v>2032</v>
      </c>
      <c r="D123" s="12">
        <f>IF(F122+SUM(E$99:E122)=D$92,F122,D$92-SUM(E$99:E122))</f>
        <v>680533</v>
      </c>
      <c r="E123" s="355">
        <f>IF(+J96&lt;F122,J96,D123)</f>
        <v>41095</v>
      </c>
      <c r="F123" s="55">
        <f t="shared" si="69"/>
        <v>639438</v>
      </c>
      <c r="G123" s="55">
        <f t="shared" si="70"/>
        <v>659985.5</v>
      </c>
      <c r="H123" s="356">
        <f t="shared" si="71"/>
        <v>129743.40081857196</v>
      </c>
      <c r="I123" s="381">
        <f t="shared" si="72"/>
        <v>129743.40081857196</v>
      </c>
      <c r="J123" s="54">
        <f t="shared" si="43"/>
        <v>0</v>
      </c>
      <c r="K123" s="54"/>
      <c r="L123" s="115"/>
      <c r="M123" s="54">
        <f t="shared" si="44"/>
        <v>0</v>
      </c>
      <c r="N123" s="115"/>
      <c r="O123" s="54">
        <f t="shared" si="45"/>
        <v>0</v>
      </c>
      <c r="P123" s="54">
        <f t="shared" si="46"/>
        <v>0</v>
      </c>
    </row>
    <row r="124" spans="2:16" ht="12.5">
      <c r="B124" s="7" t="str">
        <f t="shared" si="49"/>
        <v/>
      </c>
      <c r="C124" s="50">
        <f>IF(D93="","-",+C123+1)</f>
        <v>2033</v>
      </c>
      <c r="D124" s="12">
        <f>IF(F123+SUM(E$99:E123)=D$92,F123,D$92-SUM(E$99:E123))</f>
        <v>639438</v>
      </c>
      <c r="E124" s="355">
        <f>IF(+J96&lt;F123,J96,D124)</f>
        <v>41095</v>
      </c>
      <c r="F124" s="55">
        <f t="shared" si="69"/>
        <v>598343</v>
      </c>
      <c r="G124" s="55">
        <f t="shared" si="70"/>
        <v>618890.5</v>
      </c>
      <c r="H124" s="356">
        <f t="shared" si="71"/>
        <v>124223.57344109289</v>
      </c>
      <c r="I124" s="381">
        <f t="shared" si="72"/>
        <v>124223.57344109289</v>
      </c>
      <c r="J124" s="54">
        <f t="shared" si="43"/>
        <v>0</v>
      </c>
      <c r="K124" s="54"/>
      <c r="L124" s="115"/>
      <c r="M124" s="54">
        <f t="shared" si="44"/>
        <v>0</v>
      </c>
      <c r="N124" s="115"/>
      <c r="O124" s="54">
        <f t="shared" si="45"/>
        <v>0</v>
      </c>
      <c r="P124" s="54">
        <f t="shared" si="46"/>
        <v>0</v>
      </c>
    </row>
    <row r="125" spans="2:16" ht="12.5">
      <c r="B125" s="7" t="str">
        <f t="shared" si="49"/>
        <v/>
      </c>
      <c r="C125" s="50">
        <f>IF(D93="","-",+C124+1)</f>
        <v>2034</v>
      </c>
      <c r="D125" s="12">
        <f>IF(F124+SUM(E$99:E124)=D$92,F124,D$92-SUM(E$99:E124))</f>
        <v>598343</v>
      </c>
      <c r="E125" s="355">
        <f>IF(+J96&lt;F124,J96,D125)</f>
        <v>41095</v>
      </c>
      <c r="F125" s="55">
        <f t="shared" si="69"/>
        <v>557248</v>
      </c>
      <c r="G125" s="55">
        <f t="shared" si="70"/>
        <v>577795.5</v>
      </c>
      <c r="H125" s="356">
        <f t="shared" si="71"/>
        <v>118703.74606361381</v>
      </c>
      <c r="I125" s="381">
        <f t="shared" si="72"/>
        <v>118703.74606361381</v>
      </c>
      <c r="J125" s="54">
        <f t="shared" si="43"/>
        <v>0</v>
      </c>
      <c r="K125" s="54"/>
      <c r="L125" s="115"/>
      <c r="M125" s="54">
        <f t="shared" si="44"/>
        <v>0</v>
      </c>
      <c r="N125" s="115"/>
      <c r="O125" s="54">
        <f t="shared" si="45"/>
        <v>0</v>
      </c>
      <c r="P125" s="54">
        <f t="shared" si="46"/>
        <v>0</v>
      </c>
    </row>
    <row r="126" spans="2:16" ht="12.5">
      <c r="B126" s="7" t="str">
        <f t="shared" si="49"/>
        <v/>
      </c>
      <c r="C126" s="50">
        <f>IF(D93="","-",+C125+1)</f>
        <v>2035</v>
      </c>
      <c r="D126" s="12">
        <f>IF(F125+SUM(E$99:E125)=D$92,F125,D$92-SUM(E$99:E125))</f>
        <v>557248</v>
      </c>
      <c r="E126" s="355">
        <f>IF(+J96&lt;F125,J96,D126)</f>
        <v>41095</v>
      </c>
      <c r="F126" s="55">
        <f t="shared" si="69"/>
        <v>516153</v>
      </c>
      <c r="G126" s="55">
        <f t="shared" si="70"/>
        <v>536700.5</v>
      </c>
      <c r="H126" s="356">
        <f t="shared" si="71"/>
        <v>113183.91868613474</v>
      </c>
      <c r="I126" s="381">
        <f t="shared" si="72"/>
        <v>113183.91868613474</v>
      </c>
      <c r="J126" s="54">
        <f t="shared" si="43"/>
        <v>0</v>
      </c>
      <c r="K126" s="54"/>
      <c r="L126" s="115"/>
      <c r="M126" s="54">
        <f t="shared" si="44"/>
        <v>0</v>
      </c>
      <c r="N126" s="115"/>
      <c r="O126" s="54">
        <f t="shared" si="45"/>
        <v>0</v>
      </c>
      <c r="P126" s="54">
        <f t="shared" si="46"/>
        <v>0</v>
      </c>
    </row>
    <row r="127" spans="2:16" ht="12.5">
      <c r="B127" s="7" t="str">
        <f t="shared" si="49"/>
        <v/>
      </c>
      <c r="C127" s="50">
        <f>IF(D93="","-",+C126+1)</f>
        <v>2036</v>
      </c>
      <c r="D127" s="12">
        <f>IF(F126+SUM(E$99:E126)=D$92,F126,D$92-SUM(E$99:E126))</f>
        <v>516153</v>
      </c>
      <c r="E127" s="355">
        <f>IF(+J96&lt;F126,J96,D127)</f>
        <v>41095</v>
      </c>
      <c r="F127" s="55">
        <f t="shared" si="69"/>
        <v>475058</v>
      </c>
      <c r="G127" s="55">
        <f t="shared" si="70"/>
        <v>495605.5</v>
      </c>
      <c r="H127" s="356">
        <f t="shared" si="71"/>
        <v>107664.09130865567</v>
      </c>
      <c r="I127" s="381">
        <f t="shared" si="72"/>
        <v>107664.09130865567</v>
      </c>
      <c r="J127" s="54">
        <f t="shared" si="43"/>
        <v>0</v>
      </c>
      <c r="K127" s="54"/>
      <c r="L127" s="115"/>
      <c r="M127" s="54">
        <f t="shared" si="44"/>
        <v>0</v>
      </c>
      <c r="N127" s="115"/>
      <c r="O127" s="54">
        <f t="shared" si="45"/>
        <v>0</v>
      </c>
      <c r="P127" s="54">
        <f t="shared" si="46"/>
        <v>0</v>
      </c>
    </row>
    <row r="128" spans="2:16" ht="12.5">
      <c r="B128" s="7" t="str">
        <f t="shared" si="49"/>
        <v/>
      </c>
      <c r="C128" s="50">
        <f>IF(D93="","-",+C127+1)</f>
        <v>2037</v>
      </c>
      <c r="D128" s="12">
        <f>IF(F127+SUM(E$99:E127)=D$92,F127,D$92-SUM(E$99:E127))</f>
        <v>475058</v>
      </c>
      <c r="E128" s="355">
        <f>IF(+J96&lt;F127,J96,D128)</f>
        <v>41095</v>
      </c>
      <c r="F128" s="55">
        <f t="shared" si="69"/>
        <v>433963</v>
      </c>
      <c r="G128" s="55">
        <f t="shared" si="70"/>
        <v>454510.5</v>
      </c>
      <c r="H128" s="356">
        <f t="shared" si="71"/>
        <v>102144.2639311766</v>
      </c>
      <c r="I128" s="381">
        <f t="shared" si="72"/>
        <v>102144.2639311766</v>
      </c>
      <c r="J128" s="54">
        <f t="shared" si="43"/>
        <v>0</v>
      </c>
      <c r="K128" s="54"/>
      <c r="L128" s="115"/>
      <c r="M128" s="54">
        <f t="shared" si="44"/>
        <v>0</v>
      </c>
      <c r="N128" s="115"/>
      <c r="O128" s="54">
        <f t="shared" si="45"/>
        <v>0</v>
      </c>
      <c r="P128" s="54">
        <f t="shared" si="46"/>
        <v>0</v>
      </c>
    </row>
    <row r="129" spans="2:16" ht="12.5">
      <c r="B129" s="7" t="str">
        <f t="shared" si="49"/>
        <v/>
      </c>
      <c r="C129" s="50">
        <f>IF(D93="","-",+C128+1)</f>
        <v>2038</v>
      </c>
      <c r="D129" s="12">
        <f>IF(F128+SUM(E$99:E128)=D$92,F128,D$92-SUM(E$99:E128))</f>
        <v>433963</v>
      </c>
      <c r="E129" s="355">
        <f>IF(+J96&lt;F128,J96,D129)</f>
        <v>41095</v>
      </c>
      <c r="F129" s="55">
        <f t="shared" si="69"/>
        <v>392868</v>
      </c>
      <c r="G129" s="55">
        <f t="shared" si="70"/>
        <v>413415.5</v>
      </c>
      <c r="H129" s="356">
        <f t="shared" si="71"/>
        <v>96624.436553697509</v>
      </c>
      <c r="I129" s="381">
        <f t="shared" si="72"/>
        <v>96624.436553697509</v>
      </c>
      <c r="J129" s="54">
        <f t="shared" si="43"/>
        <v>0</v>
      </c>
      <c r="K129" s="54"/>
      <c r="L129" s="115"/>
      <c r="M129" s="54">
        <f t="shared" si="44"/>
        <v>0</v>
      </c>
      <c r="N129" s="115"/>
      <c r="O129" s="54">
        <f t="shared" si="45"/>
        <v>0</v>
      </c>
      <c r="P129" s="54">
        <f t="shared" si="46"/>
        <v>0</v>
      </c>
    </row>
    <row r="130" spans="2:16" ht="12.5">
      <c r="B130" s="7" t="str">
        <f t="shared" si="49"/>
        <v/>
      </c>
      <c r="C130" s="50">
        <f>IF(D93="","-",+C129+1)</f>
        <v>2039</v>
      </c>
      <c r="D130" s="12">
        <f>IF(F129+SUM(E$99:E129)=D$92,F129,D$92-SUM(E$99:E129))</f>
        <v>392868</v>
      </c>
      <c r="E130" s="355">
        <f>IF(+J96&lt;F129,J96,D130)</f>
        <v>41095</v>
      </c>
      <c r="F130" s="55">
        <f t="shared" si="69"/>
        <v>351773</v>
      </c>
      <c r="G130" s="55">
        <f t="shared" si="70"/>
        <v>372320.5</v>
      </c>
      <c r="H130" s="356">
        <f t="shared" si="71"/>
        <v>91104.609176218451</v>
      </c>
      <c r="I130" s="381">
        <f t="shared" si="72"/>
        <v>91104.609176218451</v>
      </c>
      <c r="J130" s="54">
        <f t="shared" si="43"/>
        <v>0</v>
      </c>
      <c r="K130" s="54"/>
      <c r="L130" s="115"/>
      <c r="M130" s="54">
        <f t="shared" si="44"/>
        <v>0</v>
      </c>
      <c r="N130" s="115"/>
      <c r="O130" s="54">
        <f t="shared" si="45"/>
        <v>0</v>
      </c>
      <c r="P130" s="54">
        <f t="shared" si="46"/>
        <v>0</v>
      </c>
    </row>
    <row r="131" spans="2:16" ht="12.5">
      <c r="B131" s="7" t="str">
        <f t="shared" si="49"/>
        <v/>
      </c>
      <c r="C131" s="50">
        <f>IF(D93="","-",+C130+1)</f>
        <v>2040</v>
      </c>
      <c r="D131" s="12">
        <f>IF(F130+SUM(E$99:E130)=D$92,F130,D$92-SUM(E$99:E130))</f>
        <v>351773</v>
      </c>
      <c r="E131" s="355">
        <f>IF(+J96&lt;F130,J96,D131)</f>
        <v>41095</v>
      </c>
      <c r="F131" s="55">
        <f t="shared" ref="F131:F154" si="73">+D131-E131</f>
        <v>310678</v>
      </c>
      <c r="G131" s="55">
        <f t="shared" ref="G131:G154" si="74">+(F131+D131)/2</f>
        <v>331225.5</v>
      </c>
      <c r="H131" s="356">
        <f t="shared" si="71"/>
        <v>85584.781798739365</v>
      </c>
      <c r="I131" s="381">
        <f t="shared" si="72"/>
        <v>85584.781798739365</v>
      </c>
      <c r="J131" s="54">
        <f t="shared" ref="J131:J154" si="75">+I131-H131</f>
        <v>0</v>
      </c>
      <c r="K131" s="54"/>
      <c r="L131" s="115"/>
      <c r="M131" s="54">
        <f t="shared" ref="M131:M154" si="76">IF(L131&lt;&gt;0,+H131-L131,0)</f>
        <v>0</v>
      </c>
      <c r="N131" s="115"/>
      <c r="O131" s="54">
        <f t="shared" ref="O131:O154" si="77">IF(N131&lt;&gt;0,+I131-N131,0)</f>
        <v>0</v>
      </c>
      <c r="P131" s="54">
        <f t="shared" ref="P131:P154" si="78">+O131-M131</f>
        <v>0</v>
      </c>
    </row>
    <row r="132" spans="2:16" ht="12.5">
      <c r="B132" s="7" t="str">
        <f t="shared" si="49"/>
        <v/>
      </c>
      <c r="C132" s="50">
        <f>IF(D93="","-",+C131+1)</f>
        <v>2041</v>
      </c>
      <c r="D132" s="12">
        <f>IF(F131+SUM(E$99:E131)=D$92,F131,D$92-SUM(E$99:E131))</f>
        <v>310678</v>
      </c>
      <c r="E132" s="355">
        <f>IF(+J96&lt;F131,J96,D132)</f>
        <v>41095</v>
      </c>
      <c r="F132" s="55">
        <f t="shared" si="73"/>
        <v>269583</v>
      </c>
      <c r="G132" s="55">
        <f t="shared" si="74"/>
        <v>290130.5</v>
      </c>
      <c r="H132" s="356">
        <f t="shared" si="71"/>
        <v>80064.954421260307</v>
      </c>
      <c r="I132" s="381">
        <f t="shared" si="72"/>
        <v>80064.954421260307</v>
      </c>
      <c r="J132" s="54">
        <f t="shared" si="75"/>
        <v>0</v>
      </c>
      <c r="K132" s="54"/>
      <c r="L132" s="115"/>
      <c r="M132" s="54">
        <f t="shared" si="76"/>
        <v>0</v>
      </c>
      <c r="N132" s="115"/>
      <c r="O132" s="54">
        <f t="shared" si="77"/>
        <v>0</v>
      </c>
      <c r="P132" s="54">
        <f t="shared" si="78"/>
        <v>0</v>
      </c>
    </row>
    <row r="133" spans="2:16" ht="12.5">
      <c r="B133" s="7" t="str">
        <f t="shared" si="49"/>
        <v/>
      </c>
      <c r="C133" s="50">
        <f>IF(D93="","-",+C132+1)</f>
        <v>2042</v>
      </c>
      <c r="D133" s="12">
        <f>IF(F132+SUM(E$99:E132)=D$92,F132,D$92-SUM(E$99:E132))</f>
        <v>269583</v>
      </c>
      <c r="E133" s="355">
        <f>IF(+J96&lt;F132,J96,D133)</f>
        <v>41095</v>
      </c>
      <c r="F133" s="55">
        <f t="shared" si="73"/>
        <v>228488</v>
      </c>
      <c r="G133" s="55">
        <f t="shared" si="74"/>
        <v>249035.5</v>
      </c>
      <c r="H133" s="356">
        <f t="shared" si="71"/>
        <v>74545.12704378122</v>
      </c>
      <c r="I133" s="381">
        <f t="shared" si="72"/>
        <v>74545.12704378122</v>
      </c>
      <c r="J133" s="54">
        <f t="shared" si="75"/>
        <v>0</v>
      </c>
      <c r="K133" s="54"/>
      <c r="L133" s="115"/>
      <c r="M133" s="54">
        <f t="shared" si="76"/>
        <v>0</v>
      </c>
      <c r="N133" s="115"/>
      <c r="O133" s="54">
        <f t="shared" si="77"/>
        <v>0</v>
      </c>
      <c r="P133" s="54">
        <f t="shared" si="78"/>
        <v>0</v>
      </c>
    </row>
    <row r="134" spans="2:16" ht="12.5">
      <c r="B134" s="7" t="str">
        <f t="shared" si="49"/>
        <v/>
      </c>
      <c r="C134" s="50">
        <f>IF(D93="","-",+C133+1)</f>
        <v>2043</v>
      </c>
      <c r="D134" s="12">
        <f>IF(F133+SUM(E$99:E133)=D$92,F133,D$92-SUM(E$99:E133))</f>
        <v>228488</v>
      </c>
      <c r="E134" s="355">
        <f>IF(+J96&lt;F133,J96,D134)</f>
        <v>41095</v>
      </c>
      <c r="F134" s="55">
        <f t="shared" si="73"/>
        <v>187393</v>
      </c>
      <c r="G134" s="55">
        <f t="shared" si="74"/>
        <v>207940.5</v>
      </c>
      <c r="H134" s="356">
        <f t="shared" si="71"/>
        <v>69025.299666302162</v>
      </c>
      <c r="I134" s="381">
        <f t="shared" si="72"/>
        <v>69025.299666302162</v>
      </c>
      <c r="J134" s="54">
        <f t="shared" si="75"/>
        <v>0</v>
      </c>
      <c r="K134" s="54"/>
      <c r="L134" s="115"/>
      <c r="M134" s="54">
        <f t="shared" si="76"/>
        <v>0</v>
      </c>
      <c r="N134" s="115"/>
      <c r="O134" s="54">
        <f t="shared" si="77"/>
        <v>0</v>
      </c>
      <c r="P134" s="54">
        <f t="shared" si="78"/>
        <v>0</v>
      </c>
    </row>
    <row r="135" spans="2:16" ht="12.5">
      <c r="B135" s="7" t="str">
        <f t="shared" si="49"/>
        <v/>
      </c>
      <c r="C135" s="50">
        <f>IF(D93="","-",+C134+1)</f>
        <v>2044</v>
      </c>
      <c r="D135" s="12">
        <f>IF(F134+SUM(E$99:E134)=D$92,F134,D$92-SUM(E$99:E134))</f>
        <v>187393</v>
      </c>
      <c r="E135" s="355">
        <f>IF(+J96&lt;F134,J96,D135)</f>
        <v>41095</v>
      </c>
      <c r="F135" s="55">
        <f t="shared" si="73"/>
        <v>146298</v>
      </c>
      <c r="G135" s="55">
        <f t="shared" si="74"/>
        <v>166845.5</v>
      </c>
      <c r="H135" s="356">
        <f t="shared" si="71"/>
        <v>63505.472288823083</v>
      </c>
      <c r="I135" s="381">
        <f t="shared" si="72"/>
        <v>63505.472288823083</v>
      </c>
      <c r="J135" s="54">
        <f t="shared" si="75"/>
        <v>0</v>
      </c>
      <c r="K135" s="54"/>
      <c r="L135" s="115"/>
      <c r="M135" s="54">
        <f t="shared" si="76"/>
        <v>0</v>
      </c>
      <c r="N135" s="115"/>
      <c r="O135" s="54">
        <f t="shared" si="77"/>
        <v>0</v>
      </c>
      <c r="P135" s="54">
        <f t="shared" si="78"/>
        <v>0</v>
      </c>
    </row>
    <row r="136" spans="2:16" ht="12.5">
      <c r="B136" s="7" t="str">
        <f t="shared" si="49"/>
        <v/>
      </c>
      <c r="C136" s="50">
        <f>IF(D93="","-",+C135+1)</f>
        <v>2045</v>
      </c>
      <c r="D136" s="12">
        <f>IF(F135+SUM(E$99:E135)=D$92,F135,D$92-SUM(E$99:E135))</f>
        <v>146298</v>
      </c>
      <c r="E136" s="355">
        <f>IF(+J96&lt;F135,J96,D136)</f>
        <v>41095</v>
      </c>
      <c r="F136" s="55">
        <f t="shared" si="73"/>
        <v>105203</v>
      </c>
      <c r="G136" s="55">
        <f t="shared" si="74"/>
        <v>125750.5</v>
      </c>
      <c r="H136" s="356">
        <f t="shared" si="71"/>
        <v>57985.64491134401</v>
      </c>
      <c r="I136" s="381">
        <f t="shared" si="72"/>
        <v>57985.64491134401</v>
      </c>
      <c r="J136" s="54">
        <f t="shared" si="75"/>
        <v>0</v>
      </c>
      <c r="K136" s="54"/>
      <c r="L136" s="115"/>
      <c r="M136" s="54">
        <f t="shared" si="76"/>
        <v>0</v>
      </c>
      <c r="N136" s="115"/>
      <c r="O136" s="54">
        <f t="shared" si="77"/>
        <v>0</v>
      </c>
      <c r="P136" s="54">
        <f t="shared" si="78"/>
        <v>0</v>
      </c>
    </row>
    <row r="137" spans="2:16" ht="12.5">
      <c r="B137" s="7" t="str">
        <f t="shared" si="49"/>
        <v/>
      </c>
      <c r="C137" s="50">
        <f>IF(D93="","-",+C136+1)</f>
        <v>2046</v>
      </c>
      <c r="D137" s="12">
        <f>IF(F136+SUM(E$99:E136)=D$92,F136,D$92-SUM(E$99:E136))</f>
        <v>105203</v>
      </c>
      <c r="E137" s="355">
        <f>IF(+J96&lt;F136,J96,D137)</f>
        <v>41095</v>
      </c>
      <c r="F137" s="55">
        <f t="shared" si="73"/>
        <v>64108</v>
      </c>
      <c r="G137" s="55">
        <f t="shared" si="74"/>
        <v>84655.5</v>
      </c>
      <c r="H137" s="356">
        <f t="shared" si="71"/>
        <v>52465.817533864938</v>
      </c>
      <c r="I137" s="381">
        <f t="shared" si="72"/>
        <v>52465.817533864938</v>
      </c>
      <c r="J137" s="54">
        <f t="shared" si="75"/>
        <v>0</v>
      </c>
      <c r="K137" s="54"/>
      <c r="L137" s="115"/>
      <c r="M137" s="54">
        <f t="shared" si="76"/>
        <v>0</v>
      </c>
      <c r="N137" s="115"/>
      <c r="O137" s="54">
        <f t="shared" si="77"/>
        <v>0</v>
      </c>
      <c r="P137" s="54">
        <f t="shared" si="78"/>
        <v>0</v>
      </c>
    </row>
    <row r="138" spans="2:16" ht="12.5">
      <c r="B138" s="7" t="str">
        <f t="shared" si="49"/>
        <v/>
      </c>
      <c r="C138" s="50">
        <f>IF(D93="","-",+C137+1)</f>
        <v>2047</v>
      </c>
      <c r="D138" s="12">
        <f>IF(F137+SUM(E$99:E137)=D$92,F137,D$92-SUM(E$99:E137))</f>
        <v>64108</v>
      </c>
      <c r="E138" s="355">
        <f>IF(+J96&lt;F137,J96,D138)</f>
        <v>41095</v>
      </c>
      <c r="F138" s="55">
        <f t="shared" si="73"/>
        <v>23013</v>
      </c>
      <c r="G138" s="55">
        <f t="shared" si="74"/>
        <v>43560.5</v>
      </c>
      <c r="H138" s="356">
        <f t="shared" si="71"/>
        <v>46945.990156385866</v>
      </c>
      <c r="I138" s="381">
        <f t="shared" si="72"/>
        <v>46945.990156385866</v>
      </c>
      <c r="J138" s="54">
        <f t="shared" si="75"/>
        <v>0</v>
      </c>
      <c r="K138" s="54"/>
      <c r="L138" s="115"/>
      <c r="M138" s="54">
        <f t="shared" si="76"/>
        <v>0</v>
      </c>
      <c r="N138" s="115"/>
      <c r="O138" s="54">
        <f t="shared" si="77"/>
        <v>0</v>
      </c>
      <c r="P138" s="54">
        <f t="shared" si="78"/>
        <v>0</v>
      </c>
    </row>
    <row r="139" spans="2:16" ht="12.5">
      <c r="B139" s="7" t="str">
        <f t="shared" si="49"/>
        <v/>
      </c>
      <c r="C139" s="50">
        <f>IF(D93="","-",+C138+1)</f>
        <v>2048</v>
      </c>
      <c r="D139" s="12">
        <f>IF(F138+SUM(E$99:E138)=D$92,F138,D$92-SUM(E$99:E138))</f>
        <v>23013</v>
      </c>
      <c r="E139" s="355">
        <f>IF(+J96&lt;F138,J96,D139)</f>
        <v>23013</v>
      </c>
      <c r="F139" s="55">
        <f t="shared" si="73"/>
        <v>0</v>
      </c>
      <c r="G139" s="55">
        <f t="shared" si="74"/>
        <v>11506.5</v>
      </c>
      <c r="H139" s="356">
        <f t="shared" si="71"/>
        <v>24558.538233823165</v>
      </c>
      <c r="I139" s="381">
        <f t="shared" si="72"/>
        <v>24558.538233823165</v>
      </c>
      <c r="J139" s="54">
        <f t="shared" si="75"/>
        <v>0</v>
      </c>
      <c r="K139" s="54"/>
      <c r="L139" s="115"/>
      <c r="M139" s="54">
        <f t="shared" si="76"/>
        <v>0</v>
      </c>
      <c r="N139" s="115"/>
      <c r="O139" s="54">
        <f t="shared" si="77"/>
        <v>0</v>
      </c>
      <c r="P139" s="54">
        <f t="shared" si="78"/>
        <v>0</v>
      </c>
    </row>
    <row r="140" spans="2:16" ht="12.5">
      <c r="B140" s="7" t="str">
        <f t="shared" si="49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3"/>
        <v>0</v>
      </c>
      <c r="G140" s="55">
        <f t="shared" si="74"/>
        <v>0</v>
      </c>
      <c r="H140" s="356">
        <f t="shared" si="71"/>
        <v>0</v>
      </c>
      <c r="I140" s="381">
        <f t="shared" si="72"/>
        <v>0</v>
      </c>
      <c r="J140" s="54">
        <f t="shared" si="75"/>
        <v>0</v>
      </c>
      <c r="K140" s="54"/>
      <c r="L140" s="115"/>
      <c r="M140" s="54">
        <f t="shared" si="76"/>
        <v>0</v>
      </c>
      <c r="N140" s="115"/>
      <c r="O140" s="54">
        <f t="shared" si="77"/>
        <v>0</v>
      </c>
      <c r="P140" s="54">
        <f t="shared" si="78"/>
        <v>0</v>
      </c>
    </row>
    <row r="141" spans="2:16" ht="12.5">
      <c r="B141" s="7" t="str">
        <f t="shared" si="49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3"/>
        <v>0</v>
      </c>
      <c r="G141" s="55">
        <f t="shared" si="74"/>
        <v>0</v>
      </c>
      <c r="H141" s="356">
        <f t="shared" si="71"/>
        <v>0</v>
      </c>
      <c r="I141" s="381">
        <f t="shared" si="72"/>
        <v>0</v>
      </c>
      <c r="J141" s="54">
        <f t="shared" si="75"/>
        <v>0</v>
      </c>
      <c r="K141" s="54"/>
      <c r="L141" s="115"/>
      <c r="M141" s="54">
        <f t="shared" si="76"/>
        <v>0</v>
      </c>
      <c r="N141" s="115"/>
      <c r="O141" s="54">
        <f t="shared" si="77"/>
        <v>0</v>
      </c>
      <c r="P141" s="54">
        <f t="shared" si="78"/>
        <v>0</v>
      </c>
    </row>
    <row r="142" spans="2:16" ht="12.5">
      <c r="B142" s="7" t="str">
        <f t="shared" si="49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3"/>
        <v>0</v>
      </c>
      <c r="G142" s="55">
        <f t="shared" si="74"/>
        <v>0</v>
      </c>
      <c r="H142" s="356">
        <f t="shared" si="71"/>
        <v>0</v>
      </c>
      <c r="I142" s="381">
        <f t="shared" si="72"/>
        <v>0</v>
      </c>
      <c r="J142" s="54">
        <f t="shared" si="75"/>
        <v>0</v>
      </c>
      <c r="K142" s="54"/>
      <c r="L142" s="115"/>
      <c r="M142" s="54">
        <f t="shared" si="76"/>
        <v>0</v>
      </c>
      <c r="N142" s="115"/>
      <c r="O142" s="54">
        <f t="shared" si="77"/>
        <v>0</v>
      </c>
      <c r="P142" s="54">
        <f t="shared" si="78"/>
        <v>0</v>
      </c>
    </row>
    <row r="143" spans="2:16" ht="12.5">
      <c r="B143" s="7" t="str">
        <f t="shared" si="49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3"/>
        <v>0</v>
      </c>
      <c r="G143" s="55">
        <f t="shared" si="74"/>
        <v>0</v>
      </c>
      <c r="H143" s="356">
        <f t="shared" si="71"/>
        <v>0</v>
      </c>
      <c r="I143" s="381">
        <f t="shared" si="72"/>
        <v>0</v>
      </c>
      <c r="J143" s="54">
        <f t="shared" si="75"/>
        <v>0</v>
      </c>
      <c r="K143" s="54"/>
      <c r="L143" s="115"/>
      <c r="M143" s="54">
        <f t="shared" si="76"/>
        <v>0</v>
      </c>
      <c r="N143" s="115"/>
      <c r="O143" s="54">
        <f t="shared" si="77"/>
        <v>0</v>
      </c>
      <c r="P143" s="54">
        <f t="shared" si="78"/>
        <v>0</v>
      </c>
    </row>
    <row r="144" spans="2:16" ht="12.5">
      <c r="B144" s="7" t="str">
        <f t="shared" si="49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3"/>
        <v>0</v>
      </c>
      <c r="G144" s="55">
        <f t="shared" si="74"/>
        <v>0</v>
      </c>
      <c r="H144" s="356">
        <f t="shared" si="71"/>
        <v>0</v>
      </c>
      <c r="I144" s="381">
        <f t="shared" si="72"/>
        <v>0</v>
      </c>
      <c r="J144" s="54">
        <f t="shared" si="75"/>
        <v>0</v>
      </c>
      <c r="K144" s="54"/>
      <c r="L144" s="115"/>
      <c r="M144" s="54">
        <f t="shared" si="76"/>
        <v>0</v>
      </c>
      <c r="N144" s="115"/>
      <c r="O144" s="54">
        <f t="shared" si="77"/>
        <v>0</v>
      </c>
      <c r="P144" s="54">
        <f t="shared" si="78"/>
        <v>0</v>
      </c>
    </row>
    <row r="145" spans="2:16" ht="12.5">
      <c r="B145" s="7" t="str">
        <f t="shared" si="49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3"/>
        <v>0</v>
      </c>
      <c r="G145" s="55">
        <f t="shared" si="74"/>
        <v>0</v>
      </c>
      <c r="H145" s="356">
        <f t="shared" si="71"/>
        <v>0</v>
      </c>
      <c r="I145" s="381">
        <f t="shared" si="72"/>
        <v>0</v>
      </c>
      <c r="J145" s="54">
        <f t="shared" si="75"/>
        <v>0</v>
      </c>
      <c r="K145" s="54"/>
      <c r="L145" s="115"/>
      <c r="M145" s="54">
        <f t="shared" si="76"/>
        <v>0</v>
      </c>
      <c r="N145" s="115"/>
      <c r="O145" s="54">
        <f t="shared" si="77"/>
        <v>0</v>
      </c>
      <c r="P145" s="54">
        <f t="shared" si="78"/>
        <v>0</v>
      </c>
    </row>
    <row r="146" spans="2:16" ht="12.5">
      <c r="B146" s="7" t="str">
        <f t="shared" si="49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3"/>
        <v>0</v>
      </c>
      <c r="G146" s="55">
        <f t="shared" si="74"/>
        <v>0</v>
      </c>
      <c r="H146" s="356">
        <f t="shared" si="71"/>
        <v>0</v>
      </c>
      <c r="I146" s="381">
        <f t="shared" si="72"/>
        <v>0</v>
      </c>
      <c r="J146" s="54">
        <f t="shared" si="75"/>
        <v>0</v>
      </c>
      <c r="K146" s="54"/>
      <c r="L146" s="115"/>
      <c r="M146" s="54">
        <f t="shared" si="76"/>
        <v>0</v>
      </c>
      <c r="N146" s="115"/>
      <c r="O146" s="54">
        <f t="shared" si="77"/>
        <v>0</v>
      </c>
      <c r="P146" s="54">
        <f t="shared" si="78"/>
        <v>0</v>
      </c>
    </row>
    <row r="147" spans="2:16" ht="12.5">
      <c r="B147" s="7" t="str">
        <f t="shared" si="49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3"/>
        <v>0</v>
      </c>
      <c r="G147" s="55">
        <f t="shared" si="74"/>
        <v>0</v>
      </c>
      <c r="H147" s="356">
        <f t="shared" si="71"/>
        <v>0</v>
      </c>
      <c r="I147" s="381">
        <f t="shared" si="72"/>
        <v>0</v>
      </c>
      <c r="J147" s="54">
        <f t="shared" si="75"/>
        <v>0</v>
      </c>
      <c r="K147" s="54"/>
      <c r="L147" s="115"/>
      <c r="M147" s="54">
        <f t="shared" si="76"/>
        <v>0</v>
      </c>
      <c r="N147" s="115"/>
      <c r="O147" s="54">
        <f t="shared" si="77"/>
        <v>0</v>
      </c>
      <c r="P147" s="54">
        <f t="shared" si="78"/>
        <v>0</v>
      </c>
    </row>
    <row r="148" spans="2:16" ht="12.5">
      <c r="B148" s="7" t="str">
        <f t="shared" si="49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3"/>
        <v>0</v>
      </c>
      <c r="G148" s="55">
        <f t="shared" si="74"/>
        <v>0</v>
      </c>
      <c r="H148" s="356">
        <f t="shared" si="71"/>
        <v>0</v>
      </c>
      <c r="I148" s="381">
        <f t="shared" si="72"/>
        <v>0</v>
      </c>
      <c r="J148" s="54">
        <f t="shared" si="75"/>
        <v>0</v>
      </c>
      <c r="K148" s="54"/>
      <c r="L148" s="115"/>
      <c r="M148" s="54">
        <f t="shared" si="76"/>
        <v>0</v>
      </c>
      <c r="N148" s="115"/>
      <c r="O148" s="54">
        <f t="shared" si="77"/>
        <v>0</v>
      </c>
      <c r="P148" s="54">
        <f t="shared" si="78"/>
        <v>0</v>
      </c>
    </row>
    <row r="149" spans="2:16" ht="12.5">
      <c r="B149" s="7" t="str">
        <f t="shared" si="49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3"/>
        <v>0</v>
      </c>
      <c r="G149" s="55">
        <f t="shared" si="74"/>
        <v>0</v>
      </c>
      <c r="H149" s="356">
        <f t="shared" si="71"/>
        <v>0</v>
      </c>
      <c r="I149" s="381">
        <f t="shared" si="72"/>
        <v>0</v>
      </c>
      <c r="J149" s="54">
        <f t="shared" si="75"/>
        <v>0</v>
      </c>
      <c r="K149" s="54"/>
      <c r="L149" s="115"/>
      <c r="M149" s="54">
        <f t="shared" si="76"/>
        <v>0</v>
      </c>
      <c r="N149" s="115"/>
      <c r="O149" s="54">
        <f t="shared" si="77"/>
        <v>0</v>
      </c>
      <c r="P149" s="54">
        <f t="shared" si="78"/>
        <v>0</v>
      </c>
    </row>
    <row r="150" spans="2:16" ht="12.5">
      <c r="B150" s="7" t="str">
        <f t="shared" si="49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3"/>
        <v>0</v>
      </c>
      <c r="G150" s="55">
        <f t="shared" si="74"/>
        <v>0</v>
      </c>
      <c r="H150" s="356">
        <f t="shared" si="71"/>
        <v>0</v>
      </c>
      <c r="I150" s="381">
        <f t="shared" si="72"/>
        <v>0</v>
      </c>
      <c r="J150" s="54">
        <f t="shared" si="75"/>
        <v>0</v>
      </c>
      <c r="K150" s="54"/>
      <c r="L150" s="115"/>
      <c r="M150" s="54">
        <f t="shared" si="76"/>
        <v>0</v>
      </c>
      <c r="N150" s="115"/>
      <c r="O150" s="54">
        <f t="shared" si="77"/>
        <v>0</v>
      </c>
      <c r="P150" s="54">
        <f t="shared" si="78"/>
        <v>0</v>
      </c>
    </row>
    <row r="151" spans="2:16" ht="12.5">
      <c r="B151" s="7" t="str">
        <f t="shared" si="49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3"/>
        <v>0</v>
      </c>
      <c r="G151" s="55">
        <f t="shared" si="74"/>
        <v>0</v>
      </c>
      <c r="H151" s="356">
        <f t="shared" si="71"/>
        <v>0</v>
      </c>
      <c r="I151" s="381">
        <f t="shared" si="72"/>
        <v>0</v>
      </c>
      <c r="J151" s="54">
        <f t="shared" si="75"/>
        <v>0</v>
      </c>
      <c r="K151" s="54"/>
      <c r="L151" s="115"/>
      <c r="M151" s="54">
        <f t="shared" si="76"/>
        <v>0</v>
      </c>
      <c r="N151" s="115"/>
      <c r="O151" s="54">
        <f t="shared" si="77"/>
        <v>0</v>
      </c>
      <c r="P151" s="54">
        <f t="shared" si="78"/>
        <v>0</v>
      </c>
    </row>
    <row r="152" spans="2:16" ht="12.5">
      <c r="B152" s="7" t="str">
        <f t="shared" si="49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3"/>
        <v>0</v>
      </c>
      <c r="G152" s="55">
        <f t="shared" si="74"/>
        <v>0</v>
      </c>
      <c r="H152" s="356">
        <f t="shared" si="71"/>
        <v>0</v>
      </c>
      <c r="I152" s="381">
        <f t="shared" si="72"/>
        <v>0</v>
      </c>
      <c r="J152" s="54">
        <f t="shared" si="75"/>
        <v>0</v>
      </c>
      <c r="K152" s="54"/>
      <c r="L152" s="115"/>
      <c r="M152" s="54">
        <f t="shared" si="76"/>
        <v>0</v>
      </c>
      <c r="N152" s="115"/>
      <c r="O152" s="54">
        <f t="shared" si="77"/>
        <v>0</v>
      </c>
      <c r="P152" s="54">
        <f t="shared" si="78"/>
        <v>0</v>
      </c>
    </row>
    <row r="153" spans="2:16" ht="12.5">
      <c r="B153" s="7" t="str">
        <f t="shared" si="49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3"/>
        <v>0</v>
      </c>
      <c r="G153" s="55">
        <f t="shared" si="74"/>
        <v>0</v>
      </c>
      <c r="H153" s="356">
        <f t="shared" si="71"/>
        <v>0</v>
      </c>
      <c r="I153" s="381">
        <f t="shared" si="72"/>
        <v>0</v>
      </c>
      <c r="J153" s="54">
        <f t="shared" si="75"/>
        <v>0</v>
      </c>
      <c r="K153" s="54"/>
      <c r="L153" s="115"/>
      <c r="M153" s="54">
        <f t="shared" si="76"/>
        <v>0</v>
      </c>
      <c r="N153" s="115"/>
      <c r="O153" s="54">
        <f t="shared" si="77"/>
        <v>0</v>
      </c>
      <c r="P153" s="54">
        <f t="shared" si="78"/>
        <v>0</v>
      </c>
    </row>
    <row r="154" spans="2:16" ht="13" thickBot="1">
      <c r="B154" s="7" t="str">
        <f t="shared" si="49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3"/>
        <v>0</v>
      </c>
      <c r="G154" s="59">
        <f t="shared" si="74"/>
        <v>0</v>
      </c>
      <c r="H154" s="358">
        <f t="shared" si="71"/>
        <v>0</v>
      </c>
      <c r="I154" s="383">
        <f t="shared" si="72"/>
        <v>0</v>
      </c>
      <c r="J154" s="62">
        <f t="shared" si="75"/>
        <v>0</v>
      </c>
      <c r="K154" s="54"/>
      <c r="L154" s="116"/>
      <c r="M154" s="62">
        <f t="shared" si="76"/>
        <v>0</v>
      </c>
      <c r="N154" s="116"/>
      <c r="O154" s="62">
        <f t="shared" si="77"/>
        <v>0</v>
      </c>
      <c r="P154" s="62">
        <f t="shared" si="78"/>
        <v>0</v>
      </c>
    </row>
    <row r="155" spans="2:16" ht="12.5">
      <c r="C155" s="12" t="s">
        <v>77</v>
      </c>
      <c r="D155" s="267"/>
      <c r="E155" s="267">
        <f>SUM(E99:E154)</f>
        <v>1520502</v>
      </c>
      <c r="F155" s="267"/>
      <c r="G155" s="267"/>
      <c r="H155" s="267">
        <f>SUM(H99:H154)</f>
        <v>5786366.3068872513</v>
      </c>
      <c r="I155" s="267">
        <f>SUM(I99:I154)</f>
        <v>5786366.3068872513</v>
      </c>
      <c r="J155" s="267">
        <f>SUM(J99:J154)</f>
        <v>0</v>
      </c>
      <c r="K155" s="267"/>
      <c r="L155" s="267"/>
      <c r="M155" s="267"/>
      <c r="N155" s="267"/>
      <c r="O155" s="267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7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7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7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7"/>
      <c r="I159" s="267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7"/>
      <c r="I160" s="267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7"/>
      <c r="I161" s="267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7"/>
      <c r="I162" s="267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zOjEzOjQxIFBNPC9EYXRlVGltZT48TGFiZWxTdHJpbmc+QUVQIEludGVybmFsPC9MYWJlbFN0cmluZz48L2l0ZW0+PC9sYWJlbEhpc3Rvcnk+</Value>
</WrappedLabelHistory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92219f9aa835c367bdfd1148dd32e3df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fa81949b18d78c9c4e29a9e6a63cfcc4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5BCD4ECD-520F-43A6-875C-F755636A54D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EC9B3951-9049-4C30-9A60-FACB660259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E24C76-216D-4A57-92D2-B81D871B867D}">
  <ds:schemaRefs>
    <ds:schemaRef ds:uri="http://schemas.microsoft.com/office/2006/metadata/properties"/>
    <ds:schemaRef ds:uri="http://schemas.microsoft.com/office/infopath/2007/PartnerControls"/>
    <ds:schemaRef ds:uri="6a06342d-ce85-4729-8251-347f0ba4f840"/>
    <ds:schemaRef ds:uri="b6888f76-1100-40b0-929b-1efe9044426d"/>
  </ds:schemaRefs>
</ds:datastoreItem>
</file>

<file path=customXml/itemProps4.xml><?xml version="1.0" encoding="utf-8"?>
<ds:datastoreItem xmlns:ds="http://schemas.openxmlformats.org/officeDocument/2006/customXml" ds:itemID="{726EA301-05DE-4248-BA3F-83EA2207E7DE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DDB8D1D0-C368-43D6-93AF-2BB0412D977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43</vt:i4>
      </vt:variant>
    </vt:vector>
  </HeadingPairs>
  <TitlesOfParts>
    <vt:vector size="84" baseType="lpstr">
      <vt:lpstr>PSO.Sch.11.Rates</vt:lpstr>
      <vt:lpstr>PSO.WS.F.BPU.ATRR.Projected</vt:lpstr>
      <vt:lpstr>PSO.WS.G.BPU.ATRR.True-up</vt:lpstr>
      <vt:lpstr>P.001</vt:lpstr>
      <vt:lpstr>P.002</vt:lpstr>
      <vt:lpstr>P.003</vt:lpstr>
      <vt:lpstr>P.004</vt:lpstr>
      <vt:lpstr>P.005</vt:lpstr>
      <vt:lpstr>P.006</vt:lpstr>
      <vt:lpstr>P.007</vt:lpstr>
      <vt:lpstr>P.008</vt:lpstr>
      <vt:lpstr>P.009</vt:lpstr>
      <vt:lpstr>P.010</vt:lpstr>
      <vt:lpstr>P.011</vt:lpstr>
      <vt:lpstr>P.012</vt:lpstr>
      <vt:lpstr>P.013</vt:lpstr>
      <vt:lpstr>P.014</vt:lpstr>
      <vt:lpstr>P.015</vt:lpstr>
      <vt:lpstr>P.016</vt:lpstr>
      <vt:lpstr>P.017</vt:lpstr>
      <vt:lpstr>P.018</vt:lpstr>
      <vt:lpstr>P.019</vt:lpstr>
      <vt:lpstr>P.020</vt:lpstr>
      <vt:lpstr>P.021</vt:lpstr>
      <vt:lpstr>P.022</vt:lpstr>
      <vt:lpstr>P.023</vt:lpstr>
      <vt:lpstr>P.024</vt:lpstr>
      <vt:lpstr>P.025</vt:lpstr>
      <vt:lpstr>P.026</vt:lpstr>
      <vt:lpstr>P.027</vt:lpstr>
      <vt:lpstr>P.028</vt:lpstr>
      <vt:lpstr>P.029</vt:lpstr>
      <vt:lpstr>P.030</vt:lpstr>
      <vt:lpstr>P.031</vt:lpstr>
      <vt:lpstr>P.032</vt:lpstr>
      <vt:lpstr>P.033</vt:lpstr>
      <vt:lpstr>P.034</vt:lpstr>
      <vt:lpstr>P.035</vt:lpstr>
      <vt:lpstr>P.036</vt:lpstr>
      <vt:lpstr>P.037</vt:lpstr>
      <vt:lpstr>P.xyz - blank </vt:lpstr>
      <vt:lpstr>P.001!Print_Area</vt:lpstr>
      <vt:lpstr>P.002!Print_Area</vt:lpstr>
      <vt:lpstr>P.003!Print_Area</vt:lpstr>
      <vt:lpstr>P.004!Print_Area</vt:lpstr>
      <vt:lpstr>P.005!Print_Area</vt:lpstr>
      <vt:lpstr>P.006!Print_Area</vt:lpstr>
      <vt:lpstr>P.007!Print_Area</vt:lpstr>
      <vt:lpstr>P.008!Print_Area</vt:lpstr>
      <vt:lpstr>P.009!Print_Area</vt:lpstr>
      <vt:lpstr>P.010!Print_Area</vt:lpstr>
      <vt:lpstr>P.011!Print_Area</vt:lpstr>
      <vt:lpstr>P.012!Print_Area</vt:lpstr>
      <vt:lpstr>P.013!Print_Area</vt:lpstr>
      <vt:lpstr>P.014!Print_Area</vt:lpstr>
      <vt:lpstr>P.015!Print_Area</vt:lpstr>
      <vt:lpstr>P.016!Print_Area</vt:lpstr>
      <vt:lpstr>P.017!Print_Area</vt:lpstr>
      <vt:lpstr>P.018!Print_Area</vt:lpstr>
      <vt:lpstr>P.019!Print_Area</vt:lpstr>
      <vt:lpstr>P.020!Print_Area</vt:lpstr>
      <vt:lpstr>P.021!Print_Area</vt:lpstr>
      <vt:lpstr>P.022!Print_Area</vt:lpstr>
      <vt:lpstr>P.023!Print_Area</vt:lpstr>
      <vt:lpstr>P.024!Print_Area</vt:lpstr>
      <vt:lpstr>P.025!Print_Area</vt:lpstr>
      <vt:lpstr>P.026!Print_Area</vt:lpstr>
      <vt:lpstr>P.027!Print_Area</vt:lpstr>
      <vt:lpstr>P.028!Print_Area</vt:lpstr>
      <vt:lpstr>P.029!Print_Area</vt:lpstr>
      <vt:lpstr>P.030!Print_Area</vt:lpstr>
      <vt:lpstr>P.031!Print_Area</vt:lpstr>
      <vt:lpstr>P.032!Print_Area</vt:lpstr>
      <vt:lpstr>P.033!Print_Area</vt:lpstr>
      <vt:lpstr>P.034!Print_Area</vt:lpstr>
      <vt:lpstr>P.035!Print_Area</vt:lpstr>
      <vt:lpstr>P.036!Print_Area</vt:lpstr>
      <vt:lpstr>P.037!Print_Area</vt:lpstr>
      <vt:lpstr>'P.xyz - blank '!Print_Area</vt:lpstr>
      <vt:lpstr>PSO.Sch.11.Rates!Print_Area</vt:lpstr>
      <vt:lpstr>PSO.WS.F.BPU.ATRR.Projected!Print_Area</vt:lpstr>
      <vt:lpstr>'PSO.WS.G.BPU.ATRR.True-up'!Print_Area</vt:lpstr>
      <vt:lpstr>PSO.WS.F.BPU.ATRR.Projected!Print_Titles</vt:lpstr>
      <vt:lpstr>'PSO.WS.G.BPU.ATRR.True-up'!Print_Titles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2025-10-30T15:01:36Z</cp:lastPrinted>
  <dcterms:created xsi:type="dcterms:W3CDTF">2009-05-11T14:02:48Z</dcterms:created>
  <dcterms:modified xsi:type="dcterms:W3CDTF">2025-10-30T17:43:47Z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9c9446c6-c09d-4578-91e9-dbf9e47c0c39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{5BCD4ECD-520F-43A6-875C-F755636A54D2}</vt:lpwstr>
  </property>
  <property fmtid="{D5CDD505-2E9C-101B-9397-08002B2CF9AE}" pid="13" name="ContentTypeId">
    <vt:lpwstr>0x0101002649C77599AAFD4B8FFD850D55630F3C</vt:lpwstr>
  </property>
  <property fmtid="{D5CDD505-2E9C-101B-9397-08002B2CF9AE}" pid="14" name="MediaServiceImageTags">
    <vt:lpwstr/>
  </property>
</Properties>
</file>